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2decf856b0136ad4/Desktop/"/>
    </mc:Choice>
  </mc:AlternateContent>
  <xr:revisionPtr revIDLastSave="0" documentId="8_{1D080552-E678-4885-956A-7D5EBB49E22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Cost Estim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2" i="1" l="1"/>
  <c r="C71" i="1"/>
  <c r="C70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E4" i="1"/>
  <c r="E3" i="1" l="1"/>
  <c r="C69" i="1"/>
  <c r="C73" i="1" s="1"/>
  <c r="E5" i="1" l="1"/>
</calcChain>
</file>

<file path=xl/sharedStrings.xml><?xml version="1.0" encoding="utf-8"?>
<sst xmlns="http://schemas.openxmlformats.org/spreadsheetml/2006/main" count="261" uniqueCount="160">
  <si>
    <t>USER INPUTS</t>
  </si>
  <si>
    <t>PROJECT SUMMARY</t>
  </si>
  <si>
    <t>Cabin Square Footage:</t>
  </si>
  <si>
    <t>Estimated Total Cost:</t>
  </si>
  <si>
    <t>Construction Quality:</t>
  </si>
  <si>
    <t>Standard</t>
  </si>
  <si>
    <t>Actual Total Cost:</t>
  </si>
  <si>
    <t>Off-Grid Project?</t>
  </si>
  <si>
    <t>No</t>
  </si>
  <si>
    <t>Cost Per Square Foot:</t>
  </si>
  <si>
    <t>DIY Labor (0-100%):</t>
  </si>
  <si>
    <t>Hire General Contractor?</t>
  </si>
  <si>
    <t>Contractor Fee %:</t>
  </si>
  <si>
    <t>Category</t>
  </si>
  <si>
    <t>Item</t>
  </si>
  <si>
    <t>Estimated Cost</t>
  </si>
  <si>
    <t>Actual Cost</t>
  </si>
  <si>
    <t>Notes</t>
  </si>
  <si>
    <t>1. Pre-Construction</t>
  </si>
  <si>
    <t>Land Purchase</t>
  </si>
  <si>
    <t>fixed</t>
  </si>
  <si>
    <t>User input: Cost of the property</t>
  </si>
  <si>
    <t>Land Survey</t>
  </si>
  <si>
    <t>Boundary and topographic survey</t>
  </si>
  <si>
    <t>Soil Testing (Perc Test)</t>
  </si>
  <si>
    <t>Required for septic design</t>
  </si>
  <si>
    <t>Building Permits &amp; Fees</t>
  </si>
  <si>
    <t>sqft</t>
  </si>
  <si>
    <t>Local government fees</t>
  </si>
  <si>
    <t>Architectural/Engineering Plans</t>
  </si>
  <si>
    <t>Blueprints and structural stamps</t>
  </si>
  <si>
    <t>2. Site Preparation</t>
  </si>
  <si>
    <t>Land Clearing/Tree Removal</t>
  </si>
  <si>
    <t>Average for 1 acre</t>
  </si>
  <si>
    <t>Driveway Construction</t>
  </si>
  <si>
    <t>Assuming 500 sqft driveway</t>
  </si>
  <si>
    <t>Excavation &amp; Grading</t>
  </si>
  <si>
    <t>Digging for foundation and drainage</t>
  </si>
  <si>
    <t>Temporary Utilities</t>
  </si>
  <si>
    <t>Power and water during build</t>
  </si>
  <si>
    <t>3. Foundation</t>
  </si>
  <si>
    <t>Concrete &amp; Materials</t>
  </si>
  <si>
    <t>Slab or crawlspace materials</t>
  </si>
  <si>
    <t>Rebar &amp; Reinforcement</t>
  </si>
  <si>
    <t>Steel for concrete strength</t>
  </si>
  <si>
    <t>Waterproofing &amp; Drainage</t>
  </si>
  <si>
    <t>French drains and wall sealant</t>
  </si>
  <si>
    <t>Foundation Labor</t>
  </si>
  <si>
    <t>Labor for foundation work</t>
  </si>
  <si>
    <t>4. Log Shell &amp; Framing</t>
  </si>
  <si>
    <t>Log Kit or Raw Logs</t>
  </si>
  <si>
    <t>Main wall logs (Standard Grade)</t>
  </si>
  <si>
    <t>Fasteners &amp; Hardware</t>
  </si>
  <si>
    <t>Log screws, spikes, and plates</t>
  </si>
  <si>
    <t>Chinking &amp; Sealant</t>
  </si>
  <si>
    <t>Sealing gaps between logs</t>
  </si>
  <si>
    <t>Interior Framing Lumber</t>
  </si>
  <si>
    <t>2x4/2x6 for interior walls</t>
  </si>
  <si>
    <t>Subflooring</t>
  </si>
  <si>
    <t>Plywood or OSB for floors</t>
  </si>
  <si>
    <t>5. Roofing</t>
  </si>
  <si>
    <t>Trusses or Rafters</t>
  </si>
  <si>
    <t>Roof structure</t>
  </si>
  <si>
    <t>Roof Sheathing</t>
  </si>
  <si>
    <t>Plywood/OSB for roof deck</t>
  </si>
  <si>
    <t>Underlayment</t>
  </si>
  <si>
    <t>Ice &amp; water shield and felt</t>
  </si>
  <si>
    <t>Roofing Material</t>
  </si>
  <si>
    <t>Metal or architectural shingles</t>
  </si>
  <si>
    <t>Gutters &amp; Downspouts</t>
  </si>
  <si>
    <t>Water management</t>
  </si>
  <si>
    <t>6. Windows &amp; Doors</t>
  </si>
  <si>
    <t>Exterior Doors</t>
  </si>
  <si>
    <t>Main entry and side doors</t>
  </si>
  <si>
    <t>Windows</t>
  </si>
  <si>
    <t>Average window coverage</t>
  </si>
  <si>
    <t>Garage Door</t>
  </si>
  <si>
    <t>Optional</t>
  </si>
  <si>
    <t>Hardware &amp; Locks</t>
  </si>
  <si>
    <t>Handles, deadbolts, and hinges</t>
  </si>
  <si>
    <t>7. Exterior Finishing</t>
  </si>
  <si>
    <t>Exterior Stain/Preservative</t>
  </si>
  <si>
    <t>UV and rot protection</t>
  </si>
  <si>
    <t>Porch/Deck Materials</t>
  </si>
  <si>
    <t>Assuming 200 sqft deck</t>
  </si>
  <si>
    <t>Railings</t>
  </si>
  <si>
    <t>Safety rails for decks</t>
  </si>
  <si>
    <t>8. Interior Finishing</t>
  </si>
  <si>
    <t>Insulation</t>
  </si>
  <si>
    <t>Floor, roof, and interior walls</t>
  </si>
  <si>
    <t>Interior Wall Covering</t>
  </si>
  <si>
    <t>Tongue &amp; Groove or Drywall</t>
  </si>
  <si>
    <t>Flooring</t>
  </si>
  <si>
    <t>Hardwood, tile, or laminate</t>
  </si>
  <si>
    <t>Interior Doors &amp; Trim</t>
  </si>
  <si>
    <t>Bedroom/bathroom doors and trim</t>
  </si>
  <si>
    <t>Painting &amp; Staining</t>
  </si>
  <si>
    <t>Interior finishes</t>
  </si>
  <si>
    <t>9. Kitchen &amp; Bath</t>
  </si>
  <si>
    <t>Cabinets</t>
  </si>
  <si>
    <t>Kitchen and vanity cabinets</t>
  </si>
  <si>
    <t>Countertops</t>
  </si>
  <si>
    <t>Granite or butcher block</t>
  </si>
  <si>
    <t>Sinks &amp; Faucets</t>
  </si>
  <si>
    <t>Kitchen and bath fixtures</t>
  </si>
  <si>
    <t>Appliances</t>
  </si>
  <si>
    <t>Fridge, stove, dishwasher, etc.</t>
  </si>
  <si>
    <t>Shower/Tub/Toilet</t>
  </si>
  <si>
    <t>Bathroom fixtures</t>
  </si>
  <si>
    <t>10. Mechanical &amp; Utilities</t>
  </si>
  <si>
    <t>Plumbing Rough-in</t>
  </si>
  <si>
    <t>Pipes and drains</t>
  </si>
  <si>
    <t>Electrical Rough-in</t>
  </si>
  <si>
    <t>Wiring, boxes, and panel</t>
  </si>
  <si>
    <t>HVAC System</t>
  </si>
  <si>
    <t>Wood stove or mini-split</t>
  </si>
  <si>
    <t>Water Heater</t>
  </si>
  <si>
    <t>Electric or gas</t>
  </si>
  <si>
    <t>Lighting Fixtures</t>
  </si>
  <si>
    <t>Interior and exterior lights</t>
  </si>
  <si>
    <t>11. Water &amp; Waste</t>
  </si>
  <si>
    <t>Well Drilling &amp; Pump</t>
  </si>
  <si>
    <t>Average depth well</t>
  </si>
  <si>
    <t>Septic System</t>
  </si>
  <si>
    <t>Standard gravity system</t>
  </si>
  <si>
    <t>Water Filtration</t>
  </si>
  <si>
    <t>Softener or UV filter</t>
  </si>
  <si>
    <t>12. Off-Grid Components</t>
  </si>
  <si>
    <t>Solar Panels &amp; Racking</t>
  </si>
  <si>
    <t>4-6kW system</t>
  </si>
  <si>
    <t>Battery Storage</t>
  </si>
  <si>
    <t>10-15kWh Lithium bank</t>
  </si>
  <si>
    <t>Inverter &amp; Charge Controller</t>
  </si>
  <si>
    <t>Power management</t>
  </si>
  <si>
    <t>Backup Generator</t>
  </si>
  <si>
    <t>Gas or propane backup</t>
  </si>
  <si>
    <t>Composting Toilet</t>
  </si>
  <si>
    <t>Alternative to septic</t>
  </si>
  <si>
    <t>Propane System</t>
  </si>
  <si>
    <t>Tank and lines</t>
  </si>
  <si>
    <t>13. Contractor &amp; Fees</t>
  </si>
  <si>
    <t>General Contractor Fee</t>
  </si>
  <si>
    <t>percent_total</t>
  </si>
  <si>
    <t>GC fee (typically 15-25%)</t>
  </si>
  <si>
    <t>Project Management</t>
  </si>
  <si>
    <t>Additional oversight costs</t>
  </si>
  <si>
    <t>14. Miscellaneous</t>
  </si>
  <si>
    <t>Tools &amp; Equipment Rental</t>
  </si>
  <si>
    <t>Lifts, mixers, etc.</t>
  </si>
  <si>
    <t>Construction Insurance</t>
  </si>
  <si>
    <t>Liability and builder's risk</t>
  </si>
  <si>
    <t>Contingency (15%)</t>
  </si>
  <si>
    <t>percent</t>
  </si>
  <si>
    <t>Buffer for unexpected costs</t>
  </si>
  <si>
    <t>Resources</t>
  </si>
  <si>
    <t>Land Buying Guide</t>
  </si>
  <si>
    <t>Architectural Designs</t>
  </si>
  <si>
    <t>Jamaica Cottage Shop</t>
  </si>
  <si>
    <t>Cabin Solar Power</t>
  </si>
  <si>
    <t>Find Contractor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</si>
</sst>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5" x14ac:knownFonts="1">
    <font>
      <sz val="11"/>
      <color theme="1"/>
      <name val="Calibri"/>
      <scheme val="minor"/>
    </font>
    <font>
      <b/>
      <sz val="11"/>
      <name val="Calibri"/>
    </font>
    <font>
      <b/>
      <sz val="14"/>
      <name val="Calibri"/>
    </font>
    <font>
      <b/>
      <sz val="11"/>
      <name val="Calibri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1"/>
    <xf numFmtId="0" fontId="4" fillId="0" borderId="1" applyNumberFormat="0" applyFill="0" applyBorder="0" applyAlignment="0" applyProtection="0"/>
  </cellStyleXfs>
  <cellXfs count="12">
    <xf numFmtId="0" fontId="0" fillId="0" borderId="1" xfId="0"/>
    <xf numFmtId="0" fontId="0" fillId="0" borderId="1" xfId="0" applyAlignment="1">
      <alignment horizontal="center" vertical="center"/>
    </xf>
    <xf numFmtId="0" fontId="2" fillId="0" borderId="1" xfId="0" applyFont="1"/>
    <xf numFmtId="164" fontId="0" fillId="0" borderId="1" xfId="0" applyNumberFormat="1"/>
    <xf numFmtId="9" fontId="0" fillId="0" borderId="1" xfId="0" applyNumberFormat="1"/>
    <xf numFmtId="0" fontId="3" fillId="2" borderId="2" xfId="0" applyFont="1" applyFill="1" applyBorder="1" applyAlignment="1">
      <alignment horizontal="center" vertical="top"/>
    </xf>
    <xf numFmtId="0" fontId="0" fillId="0" borderId="2" xfId="0" applyBorder="1"/>
    <xf numFmtId="164" fontId="0" fillId="0" borderId="2" xfId="0" applyNumberFormat="1" applyBorder="1"/>
    <xf numFmtId="0" fontId="3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4" fillId="0" borderId="2" xfId="1" applyBorder="1"/>
    <xf numFmtId="0" fontId="4" fillId="0" borderId="1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abincalculator.com/recommends/jamaica-kits/" TargetMode="External"/><Relationship Id="rId2" Type="http://schemas.openxmlformats.org/officeDocument/2006/relationships/hyperlink" Target="https://cabincalculator.com/recommends/archdesigns-plans/" TargetMode="External"/><Relationship Id="rId1" Type="http://schemas.openxmlformats.org/officeDocument/2006/relationships/hyperlink" Target="https://cabincalculator.com/2026-guide-to-buying-land-for-your-log-cabin-navigating-trends-tech-and-zoning-reform/" TargetMode="External"/><Relationship Id="rId5" Type="http://schemas.openxmlformats.org/officeDocument/2006/relationships/hyperlink" Target="https://cabincalculator.com/recommends/cabinbuild/" TargetMode="External"/><Relationship Id="rId4" Type="http://schemas.openxmlformats.org/officeDocument/2006/relationships/hyperlink" Target="https://cabincalculator.com/powering-your-cabin-with-solar-an-intro-guide-to-off-grid-energy-independen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27C48-D408-6B48-5C98-23BB2EE9D778}">
  <dimension ref="A1:AX73"/>
  <sheetViews>
    <sheetView tabSelected="1" workbookViewId="0">
      <pane ySplit="1" topLeftCell="A18" activePane="bottomLeft" state="frozen"/>
      <selection pane="bottomLeft" activeCell="G6" sqref="G6"/>
    </sheetView>
  </sheetViews>
  <sheetFormatPr defaultColWidth="9.1796875" defaultRowHeight="21.75" customHeight="1" x14ac:dyDescent="0.35"/>
  <cols>
    <col min="1" max="1" width="22.26953125" customWidth="1"/>
    <col min="2" max="2" width="27.26953125" customWidth="1"/>
    <col min="3" max="3" width="13.453125" customWidth="1"/>
    <col min="4" max="4" width="22.7265625" customWidth="1"/>
    <col min="5" max="5" width="31.1796875" customWidth="1"/>
    <col min="6" max="6" width="27.81640625" customWidth="1"/>
  </cols>
  <sheetData>
    <row r="1" spans="1:50" ht="21.75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21.75" customHeight="1" x14ac:dyDescent="0.45">
      <c r="A2" s="2" t="s">
        <v>0</v>
      </c>
      <c r="D2" s="2" t="s">
        <v>1</v>
      </c>
    </row>
    <row r="3" spans="1:50" ht="21.75" customHeight="1" x14ac:dyDescent="0.35">
      <c r="A3" t="s">
        <v>2</v>
      </c>
      <c r="B3">
        <v>1000</v>
      </c>
      <c r="D3" t="s">
        <v>3</v>
      </c>
      <c r="E3" s="3">
        <f>SUM(C15:C68)</f>
        <v>234640</v>
      </c>
    </row>
    <row r="4" spans="1:50" ht="21.75" customHeight="1" x14ac:dyDescent="0.35">
      <c r="A4" t="s">
        <v>4</v>
      </c>
      <c r="B4" t="s">
        <v>5</v>
      </c>
      <c r="D4" t="s">
        <v>6</v>
      </c>
      <c r="E4" s="3">
        <f>SUM(D15:D73)</f>
        <v>0</v>
      </c>
    </row>
    <row r="5" spans="1:50" ht="21.75" customHeight="1" x14ac:dyDescent="0.35">
      <c r="A5" t="s">
        <v>7</v>
      </c>
      <c r="B5" t="s">
        <v>8</v>
      </c>
      <c r="D5" t="s">
        <v>9</v>
      </c>
      <c r="E5" s="3">
        <f>IF(B3&gt;0,E3/B3,0)</f>
        <v>234.64</v>
      </c>
    </row>
    <row r="6" spans="1:50" ht="21.75" customHeight="1" x14ac:dyDescent="0.35">
      <c r="A6" t="s">
        <v>10</v>
      </c>
      <c r="B6" s="4">
        <v>0.5</v>
      </c>
    </row>
    <row r="7" spans="1:50" ht="21.75" customHeight="1" x14ac:dyDescent="0.35">
      <c r="A7" t="s">
        <v>11</v>
      </c>
      <c r="B7" t="s">
        <v>8</v>
      </c>
      <c r="C7" s="11" t="s">
        <v>159</v>
      </c>
    </row>
    <row r="8" spans="1:50" ht="21.75" customHeight="1" x14ac:dyDescent="0.35">
      <c r="A8" t="s">
        <v>12</v>
      </c>
      <c r="B8" s="4">
        <v>0.2</v>
      </c>
    </row>
    <row r="14" spans="1:50" ht="21.75" customHeight="1" x14ac:dyDescent="0.35">
      <c r="A14" s="5" t="s">
        <v>13</v>
      </c>
      <c r="B14" s="5" t="s">
        <v>14</v>
      </c>
      <c r="C14" s="5" t="s">
        <v>15</v>
      </c>
      <c r="D14" s="5" t="s">
        <v>16</v>
      </c>
      <c r="E14" s="8" t="s">
        <v>17</v>
      </c>
      <c r="F14" s="9" t="s">
        <v>154</v>
      </c>
    </row>
    <row r="15" spans="1:50" ht="21.75" customHeight="1" x14ac:dyDescent="0.35">
      <c r="A15" s="6" t="s">
        <v>18</v>
      </c>
      <c r="B15" s="6" t="s">
        <v>19</v>
      </c>
      <c r="C15" s="7">
        <f t="shared" ref="C15:C40" si="0">0*IF($B$4="Economy",0.8,IF($B$4="Premium",1.5,1))*(1-(0.4*IF($B$7="Yes",0,$B$6)))</f>
        <v>0</v>
      </c>
      <c r="D15" s="7" t="s">
        <v>20</v>
      </c>
      <c r="E15" s="6" t="s">
        <v>21</v>
      </c>
      <c r="F15" s="10" t="s">
        <v>155</v>
      </c>
    </row>
    <row r="16" spans="1:50" ht="21.75" customHeight="1" x14ac:dyDescent="0.35">
      <c r="A16" s="6" t="s">
        <v>18</v>
      </c>
      <c r="B16" s="6" t="s">
        <v>22</v>
      </c>
      <c r="C16" s="7">
        <f t="shared" ref="C16:C72" si="1">1500*IF($B$4="Economy",0.8,IF($B$4="Premium",1.5,1))*(1-(0.4*IF($B$7="Yes",0,$B$6)))</f>
        <v>1200</v>
      </c>
      <c r="D16" s="7" t="s">
        <v>20</v>
      </c>
      <c r="E16" s="6" t="s">
        <v>23</v>
      </c>
      <c r="F16" s="6"/>
    </row>
    <row r="17" spans="1:6" ht="21.75" customHeight="1" x14ac:dyDescent="0.35">
      <c r="A17" s="6" t="s">
        <v>18</v>
      </c>
      <c r="B17" s="6" t="s">
        <v>24</v>
      </c>
      <c r="C17" s="7">
        <f>800*IF($B$4="Economy",0.8,IF($B$4="Premium",1.5,1))*(1-(0.4*IF($B$7="Yes",0,$B$6)))</f>
        <v>640</v>
      </c>
      <c r="D17" s="7" t="s">
        <v>20</v>
      </c>
      <c r="E17" s="6" t="s">
        <v>25</v>
      </c>
      <c r="F17" s="6"/>
    </row>
    <row r="18" spans="1:6" ht="21.75" customHeight="1" x14ac:dyDescent="0.35">
      <c r="A18" s="6" t="s">
        <v>18</v>
      </c>
      <c r="B18" s="6" t="s">
        <v>26</v>
      </c>
      <c r="C18" s="7">
        <f t="shared" ref="C18:C42" si="2">2.5*$B$3*IF($B$4="Economy",0.8,IF($B$4="Premium",1.5,1))*(1-(0.4*IF($B$7="Yes",0,$B$6)))</f>
        <v>2000</v>
      </c>
      <c r="D18" s="7" t="s">
        <v>27</v>
      </c>
      <c r="E18" s="6" t="s">
        <v>28</v>
      </c>
      <c r="F18" s="6"/>
    </row>
    <row r="19" spans="1:6" ht="21.75" customHeight="1" x14ac:dyDescent="0.35">
      <c r="A19" s="6" t="s">
        <v>18</v>
      </c>
      <c r="B19" s="6" t="s">
        <v>29</v>
      </c>
      <c r="C19" s="7">
        <f t="shared" ref="C19:C34" si="3">3*$B$3*IF($B$4="Economy",0.8,IF($B$4="Premium",1.5,1))*(1-(0.4*IF($B$7="Yes",0,$B$6)))</f>
        <v>2400</v>
      </c>
      <c r="D19" s="7" t="s">
        <v>27</v>
      </c>
      <c r="E19" s="6" t="s">
        <v>30</v>
      </c>
      <c r="F19" s="10" t="s">
        <v>156</v>
      </c>
    </row>
    <row r="20" spans="1:6" ht="21.75" customHeight="1" x14ac:dyDescent="0.35">
      <c r="A20" s="6" t="s">
        <v>31</v>
      </c>
      <c r="B20" s="6" t="s">
        <v>32</v>
      </c>
      <c r="C20" s="7">
        <f t="shared" ref="C20:C48" si="4">3500*IF($B$4="Economy",0.8,IF($B$4="Premium",1.5,1))*(1-(0.4*IF($B$7="Yes",0,$B$6)))</f>
        <v>2800</v>
      </c>
      <c r="D20" s="7" t="s">
        <v>20</v>
      </c>
      <c r="E20" s="6" t="s">
        <v>33</v>
      </c>
      <c r="F20" s="6"/>
    </row>
    <row r="21" spans="1:6" ht="21.75" customHeight="1" x14ac:dyDescent="0.35">
      <c r="A21" s="6" t="s">
        <v>31</v>
      </c>
      <c r="B21" s="6" t="s">
        <v>34</v>
      </c>
      <c r="C21" s="7">
        <f>15*$B$3*IF($B$4="Economy",0.8,IF($B$4="Premium",1.5,1))*(1-(0.4*IF($B$7="Yes",0,$B$6)))</f>
        <v>12000</v>
      </c>
      <c r="D21" s="7" t="s">
        <v>27</v>
      </c>
      <c r="E21" s="6" t="s">
        <v>35</v>
      </c>
      <c r="F21" s="6"/>
    </row>
    <row r="22" spans="1:6" ht="21.75" customHeight="1" x14ac:dyDescent="0.35">
      <c r="A22" s="6" t="s">
        <v>31</v>
      </c>
      <c r="B22" s="6" t="s">
        <v>36</v>
      </c>
      <c r="C22" s="7">
        <f t="shared" ref="C22:C45" si="5">4.5*$B$3*IF($B$4="Economy",0.8,IF($B$4="Premium",1.5,1))*(1-(0.4*IF($B$7="Yes",0,$B$6)))</f>
        <v>3600</v>
      </c>
      <c r="D22" s="7" t="s">
        <v>27</v>
      </c>
      <c r="E22" s="6" t="s">
        <v>37</v>
      </c>
      <c r="F22" s="6"/>
    </row>
    <row r="23" spans="1:6" ht="21.75" customHeight="1" x14ac:dyDescent="0.35">
      <c r="A23" s="6" t="s">
        <v>31</v>
      </c>
      <c r="B23" s="6" t="s">
        <v>38</v>
      </c>
      <c r="C23" s="7">
        <f t="shared" ref="C23:C37" si="6">1200*IF($B$4="Economy",0.8,IF($B$4="Premium",1.5,1))*(1-(0.4*IF($B$7="Yes",0,$B$6)))</f>
        <v>960</v>
      </c>
      <c r="D23" s="7" t="s">
        <v>20</v>
      </c>
      <c r="E23" s="6" t="s">
        <v>39</v>
      </c>
      <c r="F23" s="6"/>
    </row>
    <row r="24" spans="1:6" ht="21.75" customHeight="1" x14ac:dyDescent="0.35">
      <c r="A24" s="6" t="s">
        <v>40</v>
      </c>
      <c r="B24" s="6" t="s">
        <v>41</v>
      </c>
      <c r="C24" s="7">
        <f t="shared" ref="C24:C39" si="7">12*$B$3*IF($B$4="Economy",0.8,IF($B$4="Premium",1.5,1))*(1-(0.4*IF($B$7="Yes",0,$B$6)))</f>
        <v>9600</v>
      </c>
      <c r="D24" s="7" t="s">
        <v>27</v>
      </c>
      <c r="E24" s="6" t="s">
        <v>42</v>
      </c>
      <c r="F24" s="6"/>
    </row>
    <row r="25" spans="1:6" ht="21.75" customHeight="1" x14ac:dyDescent="0.35">
      <c r="A25" s="6" t="s">
        <v>40</v>
      </c>
      <c r="B25" s="6" t="s">
        <v>43</v>
      </c>
      <c r="C25" s="7">
        <f t="shared" si="2"/>
        <v>2000</v>
      </c>
      <c r="D25" s="7" t="s">
        <v>27</v>
      </c>
      <c r="E25" s="6" t="s">
        <v>44</v>
      </c>
      <c r="F25" s="6"/>
    </row>
    <row r="26" spans="1:6" ht="21.75" customHeight="1" x14ac:dyDescent="0.35">
      <c r="A26" s="6" t="s">
        <v>40</v>
      </c>
      <c r="B26" s="6" t="s">
        <v>45</v>
      </c>
      <c r="C26" s="7">
        <f t="shared" ref="C26:C35" si="8">1.5*$B$3*IF($B$4="Economy",0.8,IF($B$4="Premium",1.5,1))*(1-(0.4*IF($B$7="Yes",0,$B$6)))</f>
        <v>1200</v>
      </c>
      <c r="D26" s="7" t="s">
        <v>27</v>
      </c>
      <c r="E26" s="6" t="s">
        <v>46</v>
      </c>
      <c r="F26" s="6"/>
    </row>
    <row r="27" spans="1:6" ht="21.75" customHeight="1" x14ac:dyDescent="0.35">
      <c r="A27" s="6" t="s">
        <v>40</v>
      </c>
      <c r="B27" s="6" t="s">
        <v>47</v>
      </c>
      <c r="C27" s="7">
        <f t="shared" ref="C27:C47" si="9">8*$B$3*IF($B$4="Economy",0.8,IF($B$4="Premium",1.5,1))*(1-(0.4*IF($B$7="Yes",0,$B$6)))</f>
        <v>6400</v>
      </c>
      <c r="D27" s="7" t="s">
        <v>27</v>
      </c>
      <c r="E27" s="6" t="s">
        <v>48</v>
      </c>
      <c r="F27" s="6"/>
    </row>
    <row r="28" spans="1:6" ht="21.75" customHeight="1" x14ac:dyDescent="0.35">
      <c r="A28" s="6" t="s">
        <v>49</v>
      </c>
      <c r="B28" s="6" t="s">
        <v>50</v>
      </c>
      <c r="C28" s="7">
        <f>65*$B$3*IF($B$4="Economy",0.8,IF($B$4="Premium",1.5,1))*(1-(0.4*IF($B$7="Yes",0,$B$6)))</f>
        <v>52000</v>
      </c>
      <c r="D28" s="7" t="s">
        <v>27</v>
      </c>
      <c r="E28" s="6" t="s">
        <v>51</v>
      </c>
      <c r="F28" s="10" t="s">
        <v>157</v>
      </c>
    </row>
    <row r="29" spans="1:6" ht="21.75" customHeight="1" x14ac:dyDescent="0.35">
      <c r="A29" s="6" t="s">
        <v>49</v>
      </c>
      <c r="B29" s="6" t="s">
        <v>52</v>
      </c>
      <c r="C29" s="7">
        <f t="shared" si="3"/>
        <v>2400</v>
      </c>
      <c r="D29" s="7" t="s">
        <v>27</v>
      </c>
      <c r="E29" s="6" t="s">
        <v>53</v>
      </c>
      <c r="F29" s="6"/>
    </row>
    <row r="30" spans="1:6" ht="21.75" customHeight="1" x14ac:dyDescent="0.35">
      <c r="A30" s="6" t="s">
        <v>49</v>
      </c>
      <c r="B30" s="6" t="s">
        <v>54</v>
      </c>
      <c r="C30" s="7">
        <f t="shared" si="2"/>
        <v>2000</v>
      </c>
      <c r="D30" s="7" t="s">
        <v>27</v>
      </c>
      <c r="E30" s="6" t="s">
        <v>55</v>
      </c>
      <c r="F30" s="6"/>
    </row>
    <row r="31" spans="1:6" ht="21.75" customHeight="1" x14ac:dyDescent="0.35">
      <c r="A31" s="6" t="s">
        <v>49</v>
      </c>
      <c r="B31" s="6" t="s">
        <v>56</v>
      </c>
      <c r="C31" s="7">
        <f t="shared" ref="C31:C55" si="10">6*$B$3*IF($B$4="Economy",0.8,IF($B$4="Premium",1.5,1))*(1-(0.4*IF($B$7="Yes",0,$B$6)))</f>
        <v>4800</v>
      </c>
      <c r="D31" s="7" t="s">
        <v>27</v>
      </c>
      <c r="E31" s="6" t="s">
        <v>57</v>
      </c>
      <c r="F31" s="6"/>
    </row>
    <row r="32" spans="1:6" ht="21.75" customHeight="1" x14ac:dyDescent="0.35">
      <c r="A32" s="6" t="s">
        <v>49</v>
      </c>
      <c r="B32" s="6" t="s">
        <v>58</v>
      </c>
      <c r="C32" s="7">
        <f>3.5*$B$3*IF($B$4="Economy",0.8,IF($B$4="Premium",1.5,1))*(1-(0.4*IF($B$7="Yes",0,$B$6)))</f>
        <v>2800</v>
      </c>
      <c r="D32" s="7" t="s">
        <v>27</v>
      </c>
      <c r="E32" s="6" t="s">
        <v>59</v>
      </c>
      <c r="F32" s="6"/>
    </row>
    <row r="33" spans="1:6" ht="21.75" customHeight="1" x14ac:dyDescent="0.35">
      <c r="A33" s="6" t="s">
        <v>60</v>
      </c>
      <c r="B33" s="6" t="s">
        <v>61</v>
      </c>
      <c r="C33" s="7">
        <f t="shared" ref="C33:C56" si="11">7*$B$3*IF($B$4="Economy",0.8,IF($B$4="Premium",1.5,1))*(1-(0.4*IF($B$7="Yes",0,$B$6)))</f>
        <v>5600</v>
      </c>
      <c r="D33" s="7" t="s">
        <v>27</v>
      </c>
      <c r="E33" s="6" t="s">
        <v>62</v>
      </c>
      <c r="F33" s="6"/>
    </row>
    <row r="34" spans="1:6" ht="21.75" customHeight="1" x14ac:dyDescent="0.35">
      <c r="A34" s="6" t="s">
        <v>60</v>
      </c>
      <c r="B34" s="6" t="s">
        <v>63</v>
      </c>
      <c r="C34" s="7">
        <f t="shared" si="3"/>
        <v>2400</v>
      </c>
      <c r="D34" s="7" t="s">
        <v>27</v>
      </c>
      <c r="E34" s="6" t="s">
        <v>64</v>
      </c>
      <c r="F34" s="6"/>
    </row>
    <row r="35" spans="1:6" ht="21.75" customHeight="1" x14ac:dyDescent="0.35">
      <c r="A35" s="6" t="s">
        <v>60</v>
      </c>
      <c r="B35" s="6" t="s">
        <v>65</v>
      </c>
      <c r="C35" s="7">
        <f t="shared" si="8"/>
        <v>1200</v>
      </c>
      <c r="D35" s="7" t="s">
        <v>27</v>
      </c>
      <c r="E35" s="6" t="s">
        <v>66</v>
      </c>
      <c r="F35" s="6"/>
    </row>
    <row r="36" spans="1:6" ht="21.75" customHeight="1" x14ac:dyDescent="0.35">
      <c r="A36" s="6" t="s">
        <v>60</v>
      </c>
      <c r="B36" s="6" t="s">
        <v>67</v>
      </c>
      <c r="C36" s="7">
        <f t="shared" si="9"/>
        <v>6400</v>
      </c>
      <c r="D36" s="7" t="s">
        <v>27</v>
      </c>
      <c r="E36" s="6" t="s">
        <v>68</v>
      </c>
      <c r="F36" s="6"/>
    </row>
    <row r="37" spans="1:6" ht="21.75" customHeight="1" x14ac:dyDescent="0.35">
      <c r="A37" s="6" t="s">
        <v>60</v>
      </c>
      <c r="B37" s="6" t="s">
        <v>69</v>
      </c>
      <c r="C37" s="7">
        <f t="shared" si="6"/>
        <v>960</v>
      </c>
      <c r="D37" s="7" t="s">
        <v>20</v>
      </c>
      <c r="E37" s="6" t="s">
        <v>70</v>
      </c>
      <c r="F37" s="6"/>
    </row>
    <row r="38" spans="1:6" ht="21.75" customHeight="1" x14ac:dyDescent="0.35">
      <c r="A38" s="6" t="s">
        <v>71</v>
      </c>
      <c r="B38" s="6" t="s">
        <v>72</v>
      </c>
      <c r="C38" s="7">
        <f t="shared" ref="C38:C59" si="12">2500*IF($B$4="Economy",0.8,IF($B$4="Premium",1.5,1))*(1-(0.4*IF($B$7="Yes",0,$B$6)))</f>
        <v>2000</v>
      </c>
      <c r="D38" s="7" t="s">
        <v>20</v>
      </c>
      <c r="E38" s="6" t="s">
        <v>73</v>
      </c>
      <c r="F38" s="6"/>
    </row>
    <row r="39" spans="1:6" ht="21.75" customHeight="1" x14ac:dyDescent="0.35">
      <c r="A39" s="6" t="s">
        <v>71</v>
      </c>
      <c r="B39" s="6" t="s">
        <v>74</v>
      </c>
      <c r="C39" s="7">
        <f t="shared" si="7"/>
        <v>9600</v>
      </c>
      <c r="D39" s="7" t="s">
        <v>27</v>
      </c>
      <c r="E39" s="6" t="s">
        <v>75</v>
      </c>
      <c r="F39" s="6"/>
    </row>
    <row r="40" spans="1:6" ht="21.75" customHeight="1" x14ac:dyDescent="0.35">
      <c r="A40" s="6" t="s">
        <v>71</v>
      </c>
      <c r="B40" s="6" t="s">
        <v>76</v>
      </c>
      <c r="C40" s="7">
        <f t="shared" si="0"/>
        <v>0</v>
      </c>
      <c r="D40" s="7" t="s">
        <v>20</v>
      </c>
      <c r="E40" s="6" t="s">
        <v>77</v>
      </c>
      <c r="F40" s="6"/>
    </row>
    <row r="41" spans="1:6" ht="21.75" customHeight="1" x14ac:dyDescent="0.35">
      <c r="A41" s="6" t="s">
        <v>71</v>
      </c>
      <c r="B41" s="6" t="s">
        <v>78</v>
      </c>
      <c r="C41" s="7">
        <f>600*IF($B$4="Economy",0.8,IF($B$4="Premium",1.5,1))*(1-(0.4*IF($B$7="Yes",0,$B$6)))</f>
        <v>480</v>
      </c>
      <c r="D41" s="7" t="s">
        <v>20</v>
      </c>
      <c r="E41" s="6" t="s">
        <v>79</v>
      </c>
      <c r="F41" s="6"/>
    </row>
    <row r="42" spans="1:6" ht="21.75" customHeight="1" x14ac:dyDescent="0.35">
      <c r="A42" s="6" t="s">
        <v>80</v>
      </c>
      <c r="B42" s="6" t="s">
        <v>81</v>
      </c>
      <c r="C42" s="7">
        <f t="shared" si="2"/>
        <v>2000</v>
      </c>
      <c r="D42" s="7" t="s">
        <v>27</v>
      </c>
      <c r="E42" s="6" t="s">
        <v>82</v>
      </c>
      <c r="F42" s="6"/>
    </row>
    <row r="43" spans="1:6" ht="21.75" customHeight="1" x14ac:dyDescent="0.35">
      <c r="A43" s="6" t="s">
        <v>80</v>
      </c>
      <c r="B43" s="6" t="s">
        <v>83</v>
      </c>
      <c r="C43" s="7">
        <f>25*$B$3*IF($B$4="Economy",0.8,IF($B$4="Premium",1.5,1))*(1-(0.4*IF($B$7="Yes",0,$B$6)))</f>
        <v>20000</v>
      </c>
      <c r="D43" s="7" t="s">
        <v>27</v>
      </c>
      <c r="E43" s="6" t="s">
        <v>84</v>
      </c>
      <c r="F43" s="6"/>
    </row>
    <row r="44" spans="1:6" ht="21.75" customHeight="1" x14ac:dyDescent="0.35">
      <c r="A44" s="6" t="s">
        <v>80</v>
      </c>
      <c r="B44" s="6" t="s">
        <v>85</v>
      </c>
      <c r="C44" s="7">
        <f t="shared" si="1"/>
        <v>1200</v>
      </c>
      <c r="D44" s="7" t="s">
        <v>20</v>
      </c>
      <c r="E44" s="6" t="s">
        <v>86</v>
      </c>
      <c r="F44" s="6"/>
    </row>
    <row r="45" spans="1:6" ht="21.75" customHeight="1" x14ac:dyDescent="0.35">
      <c r="A45" s="6" t="s">
        <v>87</v>
      </c>
      <c r="B45" s="6" t="s">
        <v>88</v>
      </c>
      <c r="C45" s="7">
        <f t="shared" si="5"/>
        <v>3600</v>
      </c>
      <c r="D45" s="7" t="s">
        <v>27</v>
      </c>
      <c r="E45" s="6" t="s">
        <v>89</v>
      </c>
      <c r="F45" s="6"/>
    </row>
    <row r="46" spans="1:6" ht="21.75" customHeight="1" x14ac:dyDescent="0.35">
      <c r="A46" s="6" t="s">
        <v>87</v>
      </c>
      <c r="B46" s="6" t="s">
        <v>90</v>
      </c>
      <c r="C46" s="7">
        <f t="shared" si="10"/>
        <v>4800</v>
      </c>
      <c r="D46" s="7" t="s">
        <v>27</v>
      </c>
      <c r="E46" s="6" t="s">
        <v>91</v>
      </c>
      <c r="F46" s="6"/>
    </row>
    <row r="47" spans="1:6" ht="21.75" customHeight="1" x14ac:dyDescent="0.35">
      <c r="A47" s="6" t="s">
        <v>87</v>
      </c>
      <c r="B47" s="6" t="s">
        <v>92</v>
      </c>
      <c r="C47" s="7">
        <f t="shared" si="9"/>
        <v>6400</v>
      </c>
      <c r="D47" s="7" t="s">
        <v>27</v>
      </c>
      <c r="E47" s="6" t="s">
        <v>93</v>
      </c>
      <c r="F47" s="6"/>
    </row>
    <row r="48" spans="1:6" ht="21.75" customHeight="1" x14ac:dyDescent="0.35">
      <c r="A48" s="6" t="s">
        <v>87</v>
      </c>
      <c r="B48" s="6" t="s">
        <v>94</v>
      </c>
      <c r="C48" s="7">
        <f t="shared" si="4"/>
        <v>2800</v>
      </c>
      <c r="D48" s="7" t="s">
        <v>20</v>
      </c>
      <c r="E48" s="6" t="s">
        <v>95</v>
      </c>
      <c r="F48" s="6"/>
    </row>
    <row r="49" spans="1:6" ht="21.75" customHeight="1" x14ac:dyDescent="0.35">
      <c r="A49" s="6" t="s">
        <v>87</v>
      </c>
      <c r="B49" s="6" t="s">
        <v>96</v>
      </c>
      <c r="C49" s="7">
        <f>2*$B$3*IF($B$4="Economy",0.8,IF($B$4="Premium",1.5,1))*(1-(0.4*IF($B$7="Yes",0,$B$6)))</f>
        <v>1600</v>
      </c>
      <c r="D49" s="7" t="s">
        <v>27</v>
      </c>
      <c r="E49" s="6" t="s">
        <v>97</v>
      </c>
      <c r="F49" s="6"/>
    </row>
    <row r="50" spans="1:6" ht="21.75" customHeight="1" x14ac:dyDescent="0.35">
      <c r="A50" s="6" t="s">
        <v>98</v>
      </c>
      <c r="B50" s="6" t="s">
        <v>99</v>
      </c>
      <c r="C50" s="7">
        <f t="shared" ref="C50:C61" si="13">8000*IF($B$4="Economy",0.8,IF($B$4="Premium",1.5,1))*(1-(0.4*IF($B$7="Yes",0,$B$6)))</f>
        <v>6400</v>
      </c>
      <c r="D50" s="7" t="s">
        <v>20</v>
      </c>
      <c r="E50" s="6" t="s">
        <v>100</v>
      </c>
      <c r="F50" s="6"/>
    </row>
    <row r="51" spans="1:6" ht="21.75" customHeight="1" x14ac:dyDescent="0.35">
      <c r="A51" s="6" t="s">
        <v>98</v>
      </c>
      <c r="B51" s="6" t="s">
        <v>101</v>
      </c>
      <c r="C51" s="7">
        <f>4500*IF($B$4="Economy",0.8,IF($B$4="Premium",1.5,1))*(1-(0.4*IF($B$7="Yes",0,$B$6)))</f>
        <v>3600</v>
      </c>
      <c r="D51" s="7" t="s">
        <v>20</v>
      </c>
      <c r="E51" s="6" t="s">
        <v>102</v>
      </c>
      <c r="F51" s="6"/>
    </row>
    <row r="52" spans="1:6" ht="21.75" customHeight="1" x14ac:dyDescent="0.35">
      <c r="A52" s="6" t="s">
        <v>98</v>
      </c>
      <c r="B52" s="6" t="s">
        <v>103</v>
      </c>
      <c r="C52" s="7">
        <f t="shared" si="1"/>
        <v>1200</v>
      </c>
      <c r="D52" s="7" t="s">
        <v>20</v>
      </c>
      <c r="E52" s="6" t="s">
        <v>104</v>
      </c>
      <c r="F52" s="6"/>
    </row>
    <row r="53" spans="1:6" ht="21.75" customHeight="1" x14ac:dyDescent="0.35">
      <c r="A53" s="6" t="s">
        <v>98</v>
      </c>
      <c r="B53" s="6" t="s">
        <v>105</v>
      </c>
      <c r="C53" s="7">
        <f>6000*IF($B$4="Economy",0.8,IF($B$4="Premium",1.5,1))*(1-(0.4*IF($B$7="Yes",0,$B$6)))</f>
        <v>4800</v>
      </c>
      <c r="D53" s="7" t="s">
        <v>20</v>
      </c>
      <c r="E53" s="6" t="s">
        <v>106</v>
      </c>
      <c r="F53" s="6"/>
    </row>
    <row r="54" spans="1:6" ht="21.75" customHeight="1" x14ac:dyDescent="0.35">
      <c r="A54" s="6" t="s">
        <v>98</v>
      </c>
      <c r="B54" s="6" t="s">
        <v>107</v>
      </c>
      <c r="C54" s="7">
        <f>4000*IF($B$4="Economy",0.8,IF($B$4="Premium",1.5,1))*(1-(0.4*IF($B$7="Yes",0,$B$6)))</f>
        <v>3200</v>
      </c>
      <c r="D54" s="7" t="s">
        <v>20</v>
      </c>
      <c r="E54" s="6" t="s">
        <v>108</v>
      </c>
      <c r="F54" s="6"/>
    </row>
    <row r="55" spans="1:6" ht="21.75" customHeight="1" x14ac:dyDescent="0.35">
      <c r="A55" s="6" t="s">
        <v>109</v>
      </c>
      <c r="B55" s="6" t="s">
        <v>110</v>
      </c>
      <c r="C55" s="7">
        <f t="shared" si="10"/>
        <v>4800</v>
      </c>
      <c r="D55" s="7" t="s">
        <v>27</v>
      </c>
      <c r="E55" s="6" t="s">
        <v>111</v>
      </c>
      <c r="F55" s="6"/>
    </row>
    <row r="56" spans="1:6" ht="21.75" customHeight="1" x14ac:dyDescent="0.35">
      <c r="A56" s="6" t="s">
        <v>109</v>
      </c>
      <c r="B56" s="6" t="s">
        <v>112</v>
      </c>
      <c r="C56" s="7">
        <f t="shared" si="11"/>
        <v>5600</v>
      </c>
      <c r="D56" s="7" t="s">
        <v>27</v>
      </c>
      <c r="E56" s="6" t="s">
        <v>113</v>
      </c>
      <c r="F56" s="6"/>
    </row>
    <row r="57" spans="1:6" ht="21.75" customHeight="1" x14ac:dyDescent="0.35">
      <c r="A57" s="6" t="s">
        <v>109</v>
      </c>
      <c r="B57" s="6" t="s">
        <v>114</v>
      </c>
      <c r="C57" s="7">
        <f t="shared" si="13"/>
        <v>6400</v>
      </c>
      <c r="D57" s="7" t="s">
        <v>20</v>
      </c>
      <c r="E57" s="6" t="s">
        <v>115</v>
      </c>
      <c r="F57" s="6"/>
    </row>
    <row r="58" spans="1:6" ht="21.75" customHeight="1" x14ac:dyDescent="0.35">
      <c r="A58" s="6" t="s">
        <v>109</v>
      </c>
      <c r="B58" s="6" t="s">
        <v>116</v>
      </c>
      <c r="C58" s="7">
        <f t="shared" si="1"/>
        <v>1200</v>
      </c>
      <c r="D58" s="7" t="s">
        <v>20</v>
      </c>
      <c r="E58" s="6" t="s">
        <v>117</v>
      </c>
      <c r="F58" s="6"/>
    </row>
    <row r="59" spans="1:6" ht="21.75" customHeight="1" x14ac:dyDescent="0.35">
      <c r="A59" s="6" t="s">
        <v>109</v>
      </c>
      <c r="B59" s="6" t="s">
        <v>118</v>
      </c>
      <c r="C59" s="7">
        <f t="shared" si="12"/>
        <v>2000</v>
      </c>
      <c r="D59" s="7" t="s">
        <v>20</v>
      </c>
      <c r="E59" s="6" t="s">
        <v>119</v>
      </c>
      <c r="F59" s="6"/>
    </row>
    <row r="60" spans="1:6" ht="21.75" customHeight="1" x14ac:dyDescent="0.35">
      <c r="A60" s="6" t="s">
        <v>120</v>
      </c>
      <c r="B60" s="6" t="s">
        <v>121</v>
      </c>
      <c r="C60" s="7">
        <f>10000*IF($B$4="Economy",0.8,IF($B$4="Premium",1.5,1))*(1-(0.4*IF($B$7="Yes",0,$B$6)))</f>
        <v>8000</v>
      </c>
      <c r="D60" s="7" t="s">
        <v>20</v>
      </c>
      <c r="E60" s="6" t="s">
        <v>122</v>
      </c>
      <c r="F60" s="6"/>
    </row>
    <row r="61" spans="1:6" ht="21.75" customHeight="1" x14ac:dyDescent="0.35">
      <c r="A61" s="6" t="s">
        <v>120</v>
      </c>
      <c r="B61" s="6" t="s">
        <v>123</v>
      </c>
      <c r="C61" s="7">
        <f t="shared" si="13"/>
        <v>6400</v>
      </c>
      <c r="D61" s="7" t="s">
        <v>20</v>
      </c>
      <c r="E61" s="6" t="s">
        <v>124</v>
      </c>
      <c r="F61" s="6"/>
    </row>
    <row r="62" spans="1:6" ht="21.75" customHeight="1" x14ac:dyDescent="0.35">
      <c r="A62" s="6" t="s">
        <v>120</v>
      </c>
      <c r="B62" s="6" t="s">
        <v>125</v>
      </c>
      <c r="C62" s="7">
        <f t="shared" si="1"/>
        <v>1200</v>
      </c>
      <c r="D62" s="7" t="s">
        <v>20</v>
      </c>
      <c r="E62" s="6" t="s">
        <v>126</v>
      </c>
      <c r="F62" s="6"/>
    </row>
    <row r="63" spans="1:6" ht="21.75" customHeight="1" x14ac:dyDescent="0.35">
      <c r="A63" s="6" t="s">
        <v>127</v>
      </c>
      <c r="B63" s="6" t="s">
        <v>128</v>
      </c>
      <c r="C63" s="7">
        <f>IF($B$5="Yes",12000*IF($B$4="Economy",0.8,IF($B$4="Premium",1.5,1))*(1-(0.4*IF($B$7="Yes",0,$B$6))),0)</f>
        <v>0</v>
      </c>
      <c r="D63" s="7" t="s">
        <v>20</v>
      </c>
      <c r="E63" s="6" t="s">
        <v>129</v>
      </c>
      <c r="F63" s="10" t="s">
        <v>158</v>
      </c>
    </row>
    <row r="64" spans="1:6" ht="21.75" customHeight="1" x14ac:dyDescent="0.35">
      <c r="A64" s="6" t="s">
        <v>127</v>
      </c>
      <c r="B64" s="6" t="s">
        <v>130</v>
      </c>
      <c r="C64" s="7">
        <f>IF($B$5="Yes",10000*IF($B$4="Economy",0.8,IF($B$4="Premium",1.5,1))*(1-(0.4*IF($B$7="Yes",0,$B$6))),0)</f>
        <v>0</v>
      </c>
      <c r="D64" s="7" t="s">
        <v>20</v>
      </c>
      <c r="E64" s="6" t="s">
        <v>131</v>
      </c>
      <c r="F64" s="6"/>
    </row>
    <row r="65" spans="1:6" ht="21.75" customHeight="1" x14ac:dyDescent="0.35">
      <c r="A65" s="6" t="s">
        <v>127</v>
      </c>
      <c r="B65" s="6" t="s">
        <v>132</v>
      </c>
      <c r="C65" s="7">
        <f>IF($B$5="Yes",4500*IF($B$4="Economy",0.8,IF($B$4="Premium",1.5,1))*(1-(0.4*IF($B$7="Yes",0,$B$6))),0)</f>
        <v>0</v>
      </c>
      <c r="D65" s="7" t="s">
        <v>20</v>
      </c>
      <c r="E65" s="6" t="s">
        <v>133</v>
      </c>
      <c r="F65" s="6"/>
    </row>
    <row r="66" spans="1:6" ht="21.75" customHeight="1" x14ac:dyDescent="0.35">
      <c r="A66" s="6" t="s">
        <v>127</v>
      </c>
      <c r="B66" s="6" t="s">
        <v>134</v>
      </c>
      <c r="C66" s="7">
        <f>IF($B$5="Yes",3500*IF($B$4="Economy",0.8,IF($B$4="Premium",1.5,1))*(1-(0.4*IF($B$7="Yes",0,$B$6))),0)</f>
        <v>0</v>
      </c>
      <c r="D66" s="7" t="s">
        <v>20</v>
      </c>
      <c r="E66" s="6" t="s">
        <v>135</v>
      </c>
      <c r="F66" s="6"/>
    </row>
    <row r="67" spans="1:6" ht="21.75" customHeight="1" x14ac:dyDescent="0.35">
      <c r="A67" s="6" t="s">
        <v>127</v>
      </c>
      <c r="B67" s="6" t="s">
        <v>136</v>
      </c>
      <c r="C67" s="7">
        <f>IF($B$5="Yes",1800*IF($B$4="Economy",0.8,IF($B$4="Premium",1.5,1))*(1-(0.4*IF($B$7="Yes",0,$B$6))),0)</f>
        <v>0</v>
      </c>
      <c r="D67" s="7" t="s">
        <v>20</v>
      </c>
      <c r="E67" s="6" t="s">
        <v>137</v>
      </c>
      <c r="F67" s="6"/>
    </row>
    <row r="68" spans="1:6" ht="21.75" customHeight="1" x14ac:dyDescent="0.35">
      <c r="A68" s="6" t="s">
        <v>127</v>
      </c>
      <c r="B68" s="6" t="s">
        <v>138</v>
      </c>
      <c r="C68" s="7">
        <f>IF($B$5="Yes",2500*IF($B$4="Economy",0.8,IF($B$4="Premium",1.5,1))*(1-(0.4*IF($B$7="Yes",0,$B$6))),0)</f>
        <v>0</v>
      </c>
      <c r="D68" s="7" t="s">
        <v>20</v>
      </c>
      <c r="E68" s="6" t="s">
        <v>139</v>
      </c>
      <c r="F68" s="6"/>
    </row>
    <row r="69" spans="1:6" ht="21.75" customHeight="1" x14ac:dyDescent="0.35">
      <c r="A69" s="6" t="s">
        <v>140</v>
      </c>
      <c r="B69" s="6" t="s">
        <v>141</v>
      </c>
      <c r="C69" s="7">
        <f>IF($B$7="Yes",$B$8*SUM(C15:C68),0)</f>
        <v>0</v>
      </c>
      <c r="D69" s="7" t="s">
        <v>142</v>
      </c>
      <c r="E69" s="6" t="s">
        <v>143</v>
      </c>
      <c r="F69" s="6"/>
    </row>
    <row r="70" spans="1:6" ht="21.75" customHeight="1" x14ac:dyDescent="0.35">
      <c r="A70" s="6" t="s">
        <v>140</v>
      </c>
      <c r="B70" s="6" t="s">
        <v>144</v>
      </c>
      <c r="C70" s="7">
        <f>IF($B$7="Yes",2500*IF($B$4="Economy",0.8,IF($B$4="Premium",1.5,1))*(1-(0.4*IF($B$7="Yes",0,$B$6))),0)</f>
        <v>0</v>
      </c>
      <c r="D70" s="7" t="s">
        <v>20</v>
      </c>
      <c r="E70" s="6" t="s">
        <v>145</v>
      </c>
      <c r="F70" s="6"/>
    </row>
    <row r="71" spans="1:6" ht="21.75" customHeight="1" x14ac:dyDescent="0.35">
      <c r="A71" s="6" t="s">
        <v>146</v>
      </c>
      <c r="B71" s="6" t="s">
        <v>147</v>
      </c>
      <c r="C71" s="7">
        <f>5000*IF($B$4="Economy",0.8,IF($B$4="Premium",1.5,1))*(1-(0.4*IF($B$7="Yes",0,$B$6)))</f>
        <v>4000</v>
      </c>
      <c r="D71" s="7" t="s">
        <v>20</v>
      </c>
      <c r="E71" s="6" t="s">
        <v>148</v>
      </c>
      <c r="F71" s="6"/>
    </row>
    <row r="72" spans="1:6" ht="21.75" customHeight="1" x14ac:dyDescent="0.35">
      <c r="A72" s="6" t="s">
        <v>146</v>
      </c>
      <c r="B72" s="6" t="s">
        <v>149</v>
      </c>
      <c r="C72" s="7">
        <f t="shared" si="1"/>
        <v>1200</v>
      </c>
      <c r="D72" s="7" t="s">
        <v>20</v>
      </c>
      <c r="E72" s="6" t="s">
        <v>150</v>
      </c>
      <c r="F72" s="6"/>
    </row>
    <row r="73" spans="1:6" ht="21.75" customHeight="1" x14ac:dyDescent="0.35">
      <c r="A73" s="6" t="s">
        <v>146</v>
      </c>
      <c r="B73" s="6" t="s">
        <v>151</v>
      </c>
      <c r="C73" s="7">
        <f>0.15*SUM(C15:C72)</f>
        <v>35976</v>
      </c>
      <c r="D73" s="7" t="s">
        <v>152</v>
      </c>
      <c r="E73" s="6" t="s">
        <v>153</v>
      </c>
      <c r="F73" s="6"/>
    </row>
  </sheetData>
  <dataValidations count="2">
    <dataValidation type="list" sqref="B5 B7" xr:uid="{00000000-0002-0000-0000-000000000000}">
      <formula1>"Yes,No"</formula1>
    </dataValidation>
    <dataValidation type="list" sqref="B4" xr:uid="{00000000-0002-0000-0000-000001000000}">
      <formula1>"Economy,Standard,Premium"</formula1>
    </dataValidation>
  </dataValidations>
  <hyperlinks>
    <hyperlink ref="F15" r:id="rId1" xr:uid="{41A4DF2C-D577-4514-9E1B-B4A599AB7D57}"/>
    <hyperlink ref="F19" r:id="rId2" xr:uid="{F9357A57-7DD8-44E9-8F54-C8C6390959C1}"/>
    <hyperlink ref="F28" r:id="rId3" xr:uid="{DDA24F32-37E5-4FD9-8BB4-EA7450BEC6B3}"/>
    <hyperlink ref="F63" r:id="rId4" xr:uid="{B823DC62-FE86-4D31-B733-5585B60BDBAE}"/>
    <hyperlink ref="C7" r:id="rId5" xr:uid="{F69A5A88-BE42-464D-8AAF-E59B473F7AA3}"/>
  </hyperlinks>
  <pageMargins left="0.75" right="0.75" top="1" bottom="1" header="0.5" footer="0.5"/>
  <pageSetup orientation="portrait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Estimator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Jason Keeley</cp:lastModifiedBy>
  <dcterms:created xsi:type="dcterms:W3CDTF">2026-03-14T21:46:00Z</dcterms:created>
  <dcterms:modified xsi:type="dcterms:W3CDTF">2026-03-17T19:46:14Z</dcterms:modified>
</cp:coreProperties>
</file>