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Estim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<sst xmlns="http://schemas.openxmlformats.org/spreadsheetml/2006/main" count="224" uniqueCount="167">
  <si>
    <t xml:space="preserve">Log Cabin Cost Estimator</t>
  </si>
  <si>
    <t xml:space="preserve">Get the Complete Bundle →</t>
  </si>
  <si>
    <t xml:space="preserve">Fill in the yellow cells. Estimated Cost updates automatically — track Your Actual Cost as you buy things to see how your real spending compares.</t>
  </si>
  <si>
    <t xml:space="preserve">1. Project Inputs</t>
  </si>
  <si>
    <t xml:space="preserve">Cabin Square Footage</t>
  </si>
  <si>
    <t xml:space="preserve">Find a Contractor</t>
  </si>
  <si>
    <t xml:space="preserve">Construction Quality</t>
  </si>
  <si>
    <t xml:space="preserve">Standard</t>
  </si>
  <si>
    <t xml:space="preserve">Off-Grid Project?</t>
  </si>
  <si>
    <t xml:space="preserve">No</t>
  </si>
  <si>
    <t xml:space="preserve">DIY Labor (0-100%)</t>
  </si>
  <si>
    <t xml:space="preserve">Hire General Contractor?</t>
  </si>
  <si>
    <t xml:space="preserve">Contractor Fee %</t>
  </si>
  <si>
    <t xml:space="preserve">2. Project Summary</t>
  </si>
  <si>
    <t xml:space="preserve">Estimated Total Cost</t>
  </si>
  <si>
    <t xml:space="preserve">The Estimated Total now includes every category below, including contractor fees, tools/equipment, insurance, and the 15% contingency buffer at the bottom.</t>
  </si>
  <si>
    <t xml:space="preserve">Your Actual Total (fill in as you go)</t>
  </si>
  <si>
    <t xml:space="preserve">Estimated Cost Per Square Foot</t>
  </si>
  <si>
    <t xml:space="preserve">Want the full planning system? Get this spreadsheet + 5 more tools in the DIY Cabin Builder Bundle →  cabincalculator.com/bundle</t>
  </si>
  <si>
    <t xml:space="preserve">3. Cost Breakdown by Category</t>
  </si>
  <si>
    <t xml:space="preserve">Item</t>
  </si>
  <si>
    <t xml:space="preserve">Estimated Cost</t>
  </si>
  <si>
    <t xml:space="preserve">Your Actual Cost</t>
  </si>
  <si>
    <t xml:space="preserve">Basis</t>
  </si>
  <si>
    <t xml:space="preserve">Notes</t>
  </si>
  <si>
    <t xml:space="preserve">Resource</t>
  </si>
  <si>
    <t xml:space="preserve">1. Pre-Construction</t>
  </si>
  <si>
    <t xml:space="preserve">Land Purchase</t>
  </si>
  <si>
    <t xml:space="preserve">fixed</t>
  </si>
  <si>
    <t xml:space="preserve">User input: cost of the property</t>
  </si>
  <si>
    <t xml:space="preserve">Land Buying Guide</t>
  </si>
  <si>
    <t xml:space="preserve">Land Survey</t>
  </si>
  <si>
    <t xml:space="preserve">Boundary and topographic survey</t>
  </si>
  <si>
    <t xml:space="preserve">Soil Testing (Perc Test)</t>
  </si>
  <si>
    <t xml:space="preserve">Required for septic design</t>
  </si>
  <si>
    <t xml:space="preserve">Building Permits &amp; Fees</t>
  </si>
  <si>
    <t xml:space="preserve">sq ft</t>
  </si>
  <si>
    <t xml:space="preserve">Local government fees</t>
  </si>
  <si>
    <t xml:space="preserve">Architectural/Engineering Plans</t>
  </si>
  <si>
    <t xml:space="preserve">Blueprints and structural stamps</t>
  </si>
  <si>
    <t xml:space="preserve">Cabin Floor Plans</t>
  </si>
  <si>
    <t xml:space="preserve">2. Site Preparation</t>
  </si>
  <si>
    <t xml:space="preserve">Land Clearing/Tree Removal</t>
  </si>
  <si>
    <t xml:space="preserve">Average for 1 acre</t>
  </si>
  <si>
    <t xml:space="preserve">Driveway Construction</t>
  </si>
  <si>
    <t xml:space="preserve">Assuming 50 ft driveway</t>
  </si>
  <si>
    <t xml:space="preserve">Excavation &amp; Grading</t>
  </si>
  <si>
    <t xml:space="preserve">Digging for foundation and drainage</t>
  </si>
  <si>
    <t xml:space="preserve">Temporary Utilities</t>
  </si>
  <si>
    <t xml:space="preserve">Power and water during build</t>
  </si>
  <si>
    <t xml:space="preserve">3. Foundation</t>
  </si>
  <si>
    <t xml:space="preserve">Concrete &amp; Materials</t>
  </si>
  <si>
    <t xml:space="preserve">Slab or crawlspace materials</t>
  </si>
  <si>
    <t xml:space="preserve">Rebar &amp; Reinforcement</t>
  </si>
  <si>
    <t xml:space="preserve">Steel for concrete strength</t>
  </si>
  <si>
    <t xml:space="preserve">Waterproofing &amp; Drainage</t>
  </si>
  <si>
    <t xml:space="preserve">French drains and wall sealant</t>
  </si>
  <si>
    <t xml:space="preserve">Foundation Labor</t>
  </si>
  <si>
    <t xml:space="preserve">Labor for foundation work</t>
  </si>
  <si>
    <t xml:space="preserve">4. Log Shell &amp; Framing</t>
  </si>
  <si>
    <t xml:space="preserve">Log Kit or Raw Logs</t>
  </si>
  <si>
    <t xml:space="preserve">Main wall logs (Standard Grade)</t>
  </si>
  <si>
    <t xml:space="preserve">Jamaica Cottage Shop</t>
  </si>
  <si>
    <t xml:space="preserve">Fasteners &amp; Hardware</t>
  </si>
  <si>
    <t xml:space="preserve">Log screws, spikes, and plates</t>
  </si>
  <si>
    <t xml:space="preserve">Chinking &amp; Sealant</t>
  </si>
  <si>
    <t xml:space="preserve">Sealing gaps between logs</t>
  </si>
  <si>
    <t xml:space="preserve">Interior Framing Lumber</t>
  </si>
  <si>
    <t xml:space="preserve">2x4/2x6 for interior walls</t>
  </si>
  <si>
    <t xml:space="preserve">Subflooring</t>
  </si>
  <si>
    <t xml:space="preserve">Plywood or OSB for floors</t>
  </si>
  <si>
    <t xml:space="preserve">5. Roofing</t>
  </si>
  <si>
    <t xml:space="preserve">Trusses or Rafters</t>
  </si>
  <si>
    <t xml:space="preserve">Roof structure</t>
  </si>
  <si>
    <t xml:space="preserve">Roof Sheathing</t>
  </si>
  <si>
    <t xml:space="preserve">Plywood/OSB for roof deck</t>
  </si>
  <si>
    <t xml:space="preserve">Underlayment</t>
  </si>
  <si>
    <t xml:space="preserve">Ice &amp; water shield and felt</t>
  </si>
  <si>
    <t xml:space="preserve">Roofing Material</t>
  </si>
  <si>
    <t xml:space="preserve">Metal or architectural shingles</t>
  </si>
  <si>
    <t xml:space="preserve">Gutters &amp; Downspouts</t>
  </si>
  <si>
    <t xml:space="preserve">Water management</t>
  </si>
  <si>
    <t xml:space="preserve">6. Windows &amp; Doors</t>
  </si>
  <si>
    <t xml:space="preserve">Exterior Doors</t>
  </si>
  <si>
    <t xml:space="preserve">Main entry and side doors</t>
  </si>
  <si>
    <t xml:space="preserve">Windows</t>
  </si>
  <si>
    <t xml:space="preserve">Average window coverage</t>
  </si>
  <si>
    <t xml:space="preserve">Garage Door</t>
  </si>
  <si>
    <t xml:space="preserve">Optional</t>
  </si>
  <si>
    <t xml:space="preserve">Hardware &amp; Locks</t>
  </si>
  <si>
    <t xml:space="preserve">Handles, deadbolts, and hinges</t>
  </si>
  <si>
    <t xml:space="preserve">7. Exterior Finishing</t>
  </si>
  <si>
    <t xml:space="preserve">Exterior Stain/Preservative</t>
  </si>
  <si>
    <t xml:space="preserve">UV and rot protection</t>
  </si>
  <si>
    <t xml:space="preserve">Porch/Deck Materials</t>
  </si>
  <si>
    <t xml:space="preserve">Assuming 200 sq ft deck</t>
  </si>
  <si>
    <t xml:space="preserve">Railings</t>
  </si>
  <si>
    <t xml:space="preserve">Safety rails for decks</t>
  </si>
  <si>
    <t xml:space="preserve">8. Interior Finishing</t>
  </si>
  <si>
    <t xml:space="preserve">Insulation</t>
  </si>
  <si>
    <t xml:space="preserve">Floor, roof, and interior walls</t>
  </si>
  <si>
    <t xml:space="preserve">Interior Wall Covering</t>
  </si>
  <si>
    <t xml:space="preserve">Tongue &amp; Groove or Drywall</t>
  </si>
  <si>
    <t xml:space="preserve">Flooring</t>
  </si>
  <si>
    <t xml:space="preserve">Hardwood, tile, or laminate</t>
  </si>
  <si>
    <t xml:space="preserve">Interior Doors &amp; Trim</t>
  </si>
  <si>
    <t xml:space="preserve">Bedroom/bathroom doors and trim</t>
  </si>
  <si>
    <t xml:space="preserve">Painting &amp; Staining</t>
  </si>
  <si>
    <t xml:space="preserve">Interior finishes</t>
  </si>
  <si>
    <t xml:space="preserve">9. Kitchen &amp; Bath</t>
  </si>
  <si>
    <t xml:space="preserve">Cabinets</t>
  </si>
  <si>
    <t xml:space="preserve">Kitchen and vanity cabinets</t>
  </si>
  <si>
    <t xml:space="preserve">Countertops</t>
  </si>
  <si>
    <t xml:space="preserve">Granite or butcher block</t>
  </si>
  <si>
    <t xml:space="preserve">Sinks &amp; Faucets</t>
  </si>
  <si>
    <t xml:space="preserve">Kitchen and bath fixtures</t>
  </si>
  <si>
    <t xml:space="preserve">Appliances</t>
  </si>
  <si>
    <t xml:space="preserve">Fridge, stove, dishwasher, etc.</t>
  </si>
  <si>
    <t xml:space="preserve">Shower/Tub/Toilet</t>
  </si>
  <si>
    <t xml:space="preserve">Bathroom fixtures</t>
  </si>
  <si>
    <t xml:space="preserve">10. Mechanical &amp; Utilities</t>
  </si>
  <si>
    <t xml:space="preserve">Plumbing Rough-in</t>
  </si>
  <si>
    <t xml:space="preserve">Pipes and drains</t>
  </si>
  <si>
    <t xml:space="preserve">Electrical Rough-in</t>
  </si>
  <si>
    <t xml:space="preserve">Wiring, boxes, and panel</t>
  </si>
  <si>
    <t xml:space="preserve">HVAC System</t>
  </si>
  <si>
    <t xml:space="preserve">Wood stove or mini-split</t>
  </si>
  <si>
    <t xml:space="preserve">Water Heater</t>
  </si>
  <si>
    <t xml:space="preserve">Electric or gas</t>
  </si>
  <si>
    <t xml:space="preserve">Lighting Fixtures</t>
  </si>
  <si>
    <t xml:space="preserve">Interior and exterior lights</t>
  </si>
  <si>
    <t xml:space="preserve">11. Water &amp; Waste</t>
  </si>
  <si>
    <t xml:space="preserve">Well Drilling &amp; Pump</t>
  </si>
  <si>
    <t xml:space="preserve">Average depth well</t>
  </si>
  <si>
    <t xml:space="preserve">Septic System</t>
  </si>
  <si>
    <t xml:space="preserve">Standard gravity system</t>
  </si>
  <si>
    <t xml:space="preserve">Water Filtration</t>
  </si>
  <si>
    <t xml:space="preserve">Softener or UV filter</t>
  </si>
  <si>
    <t xml:space="preserve">12. Off-Grid Components (only counted if Off-Grid = Yes)</t>
  </si>
  <si>
    <t xml:space="preserve">Solar Panels &amp; Racking</t>
  </si>
  <si>
    <t xml:space="preserve">4-6kW system</t>
  </si>
  <si>
    <t xml:space="preserve">Cabin Solar Power</t>
  </si>
  <si>
    <t xml:space="preserve">Battery Storage</t>
  </si>
  <si>
    <t xml:space="preserve">10-15kWh Lithium bank</t>
  </si>
  <si>
    <t xml:space="preserve">Inverter &amp; Charge Controller</t>
  </si>
  <si>
    <t xml:space="preserve">Power management</t>
  </si>
  <si>
    <t xml:space="preserve">Backup Generator</t>
  </si>
  <si>
    <t xml:space="preserve">Gas or propane backup</t>
  </si>
  <si>
    <t xml:space="preserve">Composting Toilet</t>
  </si>
  <si>
    <t xml:space="preserve">Alternative to septic</t>
  </si>
  <si>
    <t xml:space="preserve">Propane System</t>
  </si>
  <si>
    <t xml:space="preserve">Tank and lines</t>
  </si>
  <si>
    <t xml:space="preserve">13. Contractor &amp; Fees</t>
  </si>
  <si>
    <t xml:space="preserve">General Contractor Fee</t>
  </si>
  <si>
    <t xml:space="preserve">% of total</t>
  </si>
  <si>
    <t xml:space="preserve">GC fee (typically 15-25%)</t>
  </si>
  <si>
    <t xml:space="preserve">Project Management</t>
  </si>
  <si>
    <t xml:space="preserve">Additional oversight costs</t>
  </si>
  <si>
    <t xml:space="preserve">14. Miscellaneous</t>
  </si>
  <si>
    <t xml:space="preserve">Tools &amp; Equipment Rental</t>
  </si>
  <si>
    <t xml:space="preserve">Lifts, mixers, etc.</t>
  </si>
  <si>
    <t xml:space="preserve">Construction Insurance</t>
  </si>
  <si>
    <t xml:space="preserve">Liability and builder's risk</t>
  </si>
  <si>
    <t xml:space="preserve">Contingency (15%)</t>
  </si>
  <si>
    <t xml:space="preserve">% of subtotal</t>
  </si>
  <si>
    <t xml:space="preserve">Buffer for unexpected costs</t>
  </si>
  <si>
    <t xml:space="preserve">All estimates scale with Construction Quality (Economy -20%, Premium +50%) and your DIY Labor % (more DIY labor lowers estimated cost). This spreadsheet is also part of the DIY Cabin Builder Bundle, alongside a Planning Guide, Materials Estimator, Foundation Calculator, and Septic + Well Cost Estimator.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</si>
</sst>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\$#,##0"/>
    <numFmt numFmtId="167" formatCode="\$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i val="true"/>
      <sz val="9"/>
      <color rgb="FF6B675F"/>
      <name val="Arial"/>
      <family val="0"/>
      <charset val="1"/>
    </font>
    <font>
      <b val="true"/>
      <sz val="11.5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u val="single"/>
      <sz val="9.5"/>
      <color rgb="FF1565C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E4B3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.5"/>
      <color rgb="FF1E4B3E"/>
      <name val="Arial"/>
      <family val="0"/>
      <charset val="1"/>
    </font>
    <font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E4B3E"/>
        <bgColor rgb="FF003366"/>
      </patternFill>
    </fill>
    <fill>
      <patternFill patternType="solid">
        <fgColor rgb="FFC97A3D"/>
        <bgColor rgb="FFFF6600"/>
      </patternFill>
    </fill>
    <fill>
      <patternFill patternType="solid">
        <fgColor rgb="FFFFFF99"/>
        <bgColor rgb="FFF2EBDC"/>
      </patternFill>
    </fill>
    <fill>
      <patternFill patternType="solid">
        <fgColor rgb="FFE8F0EC"/>
        <bgColor rgb="FFF2EBDC"/>
      </patternFill>
    </fill>
    <fill>
      <patternFill patternType="solid">
        <fgColor rgb="FFF2EBDC"/>
        <bgColor rgb="FFE8F0EC"/>
      </patternFill>
    </fill>
    <fill>
      <patternFill patternType="solid">
        <fgColor rgb="FFFFFF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F2"/>
      <rgbColor rgb="FFE8F0EC"/>
      <rgbColor rgb="FF660066"/>
      <rgbColor rgb="FFC97A3D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2EB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7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4B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abincalculator.com/bundle/" TargetMode="External"/><Relationship Id="rId2" Type="http://schemas.openxmlformats.org/officeDocument/2006/relationships/hyperlink" Target="https://cabincalculator.com/recommends/cabinbuild/" TargetMode="External"/><Relationship Id="rId3" Type="http://schemas.openxmlformats.org/officeDocument/2006/relationships/hyperlink" Target="https://cabincalculator.com/bundle/" TargetMode="External"/><Relationship Id="rId4" Type="http://schemas.openxmlformats.org/officeDocument/2006/relationships/hyperlink" Target="https://cabincalculator.com/2026-guide-to-buying-land-for-your-log-cabin-navigating-trends-tech-and-zoning-reform/" TargetMode="External"/><Relationship Id="rId5" Type="http://schemas.openxmlformats.org/officeDocument/2006/relationships/hyperlink" Target="https://cabincalculator.com/recommends/archdesigns-plans/" TargetMode="External"/><Relationship Id="rId6" Type="http://schemas.openxmlformats.org/officeDocument/2006/relationships/hyperlink" Target="https://cabincalculator.com/recommends/jamaica-kits/" TargetMode="External"/><Relationship Id="rId7" Type="http://schemas.openxmlformats.org/officeDocument/2006/relationships/hyperlink" Target="https://cabincalculator.com/powering-your-cabin-with-solar-an-intro-guide-to-off-grid-energy-independence/" TargetMode="External"/><Relationship Id="rId8" Type="http://schemas.openxmlformats.org/officeDocument/2006/relationships/hyperlink" Target="https://cabincalculator.com/bundl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5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20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21.75" hidden="false" customHeight="true" outlineLevel="0" collapsed="false">
      <c r="A2" s="1"/>
      <c r="B2" s="1"/>
      <c r="C2" s="1"/>
      <c r="D2" s="1"/>
      <c r="E2" s="2"/>
      <c r="F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</row>
    <row r="5" customFormat="false" ht="18.75" hidden="false" customHeight="true" outlineLevel="0" collapsed="false">
      <c r="A5" s="4" t="s">
        <v>3</v>
      </c>
      <c r="B5" s="4"/>
      <c r="C5" s="4"/>
      <c r="D5" s="4"/>
      <c r="E5" s="4"/>
      <c r="F5" s="4"/>
    </row>
    <row r="6" customFormat="false" ht="15" hidden="false" customHeight="false" outlineLevel="0" collapsed="false">
      <c r="A6" s="5" t="s">
        <v>4</v>
      </c>
      <c r="B6" s="6" t="n">
        <v>1000</v>
      </c>
      <c r="C6" s="7" t="s">
        <v>5</v>
      </c>
    </row>
    <row r="7" customFormat="false" ht="15" hidden="false" customHeight="false" outlineLevel="0" collapsed="false">
      <c r="A7" s="5" t="s">
        <v>6</v>
      </c>
      <c r="B7" s="6" t="s">
        <v>7</v>
      </c>
    </row>
    <row r="8" customFormat="false" ht="15" hidden="false" customHeight="false" outlineLevel="0" collapsed="false">
      <c r="A8" s="5" t="s">
        <v>8</v>
      </c>
      <c r="B8" s="6" t="s">
        <v>9</v>
      </c>
    </row>
    <row r="9" customFormat="false" ht="15" hidden="false" customHeight="false" outlineLevel="0" collapsed="false">
      <c r="A9" s="5" t="s">
        <v>10</v>
      </c>
      <c r="B9" s="8" t="n">
        <v>0.5</v>
      </c>
    </row>
    <row r="10" customFormat="false" ht="15" hidden="false" customHeight="false" outlineLevel="0" collapsed="false">
      <c r="A10" s="5" t="s">
        <v>11</v>
      </c>
      <c r="B10" s="6" t="s">
        <v>9</v>
      </c>
    </row>
    <row r="11" customFormat="false" ht="15" hidden="false" customHeight="false" outlineLevel="0" collapsed="false">
      <c r="A11" s="5" t="s">
        <v>12</v>
      </c>
      <c r="B11" s="8" t="n">
        <v>0.2</v>
      </c>
    </row>
    <row r="13" customFormat="false" ht="18.75" hidden="false" customHeight="true" outlineLevel="0" collapsed="false">
      <c r="A13" s="4" t="s">
        <v>13</v>
      </c>
      <c r="B13" s="4"/>
      <c r="C13" s="4"/>
      <c r="D13" s="4"/>
      <c r="E13" s="4"/>
      <c r="F13" s="4"/>
    </row>
    <row r="14" customFormat="false" ht="15" hidden="false" customHeight="true" outlineLevel="0" collapsed="false">
      <c r="A14" s="9" t="s">
        <v>14</v>
      </c>
      <c r="B14" s="10" t="n">
        <f aca="false">SUM(B22:B93)</f>
        <v>275816</v>
      </c>
      <c r="C14" s="10"/>
      <c r="D14" s="11" t="s">
        <v>15</v>
      </c>
      <c r="E14" s="11"/>
      <c r="F14" s="11"/>
    </row>
    <row r="15" customFormat="false" ht="15" hidden="false" customHeight="false" outlineLevel="0" collapsed="false">
      <c r="A15" s="9" t="s">
        <v>16</v>
      </c>
      <c r="B15" s="10" t="n">
        <f aca="false">SUM(C22:C93)</f>
        <v>0</v>
      </c>
      <c r="C15" s="10"/>
      <c r="D15" s="11"/>
      <c r="E15" s="11"/>
      <c r="F15" s="11"/>
    </row>
    <row r="16" customFormat="false" ht="15" hidden="false" customHeight="false" outlineLevel="0" collapsed="false">
      <c r="A16" s="9" t="s">
        <v>17</v>
      </c>
      <c r="B16" s="12" t="n">
        <f aca="false">IF(B6&gt;0,B14/B6,0)</f>
        <v>275.816</v>
      </c>
      <c r="C16" s="12"/>
      <c r="D16" s="11"/>
      <c r="E16" s="11"/>
      <c r="F16" s="11"/>
    </row>
    <row r="17" customFormat="false" ht="21.75" hidden="false" customHeight="true" outlineLevel="0" collapsed="false">
      <c r="A17" s="13" t="s">
        <v>18</v>
      </c>
      <c r="B17" s="13"/>
      <c r="C17" s="13"/>
      <c r="D17" s="13"/>
      <c r="E17" s="13"/>
      <c r="F17" s="13"/>
    </row>
    <row r="19" customFormat="false" ht="18.75" hidden="false" customHeight="true" outlineLevel="0" collapsed="false">
      <c r="A19" s="4" t="s">
        <v>19</v>
      </c>
      <c r="B19" s="4"/>
      <c r="C19" s="4"/>
      <c r="D19" s="4"/>
      <c r="E19" s="4"/>
      <c r="F19" s="4"/>
    </row>
    <row r="20" customFormat="false" ht="18" hidden="false" customHeight="true" outlineLevel="0" collapsed="false">
      <c r="A20" s="14" t="s">
        <v>20</v>
      </c>
      <c r="B20" s="14" t="s">
        <v>21</v>
      </c>
      <c r="C20" s="14" t="s">
        <v>22</v>
      </c>
      <c r="D20" s="14" t="s">
        <v>23</v>
      </c>
      <c r="E20" s="14" t="s">
        <v>24</v>
      </c>
      <c r="F20" s="14" t="s">
        <v>25</v>
      </c>
    </row>
    <row r="21" customFormat="false" ht="16.5" hidden="false" customHeight="true" outlineLevel="0" collapsed="false">
      <c r="A21" s="15" t="s">
        <v>26</v>
      </c>
      <c r="B21" s="15"/>
      <c r="C21" s="15"/>
      <c r="D21" s="15"/>
      <c r="E21" s="15"/>
      <c r="F21" s="15"/>
    </row>
    <row r="22" customFormat="false" ht="15" hidden="false" customHeight="false" outlineLevel="0" collapsed="false">
      <c r="A22" s="16" t="s">
        <v>27</v>
      </c>
      <c r="B22" s="17" t="n">
        <f aca="false">0*IF($B$7="Economy",0.8,IF($B$7="Premium",1.5,1))*(1-(0.4*IF($B$10="Yes",0,$B$9)))</f>
        <v>0</v>
      </c>
      <c r="C22" s="18"/>
      <c r="D22" s="19" t="s">
        <v>28</v>
      </c>
      <c r="E22" s="20" t="s">
        <v>29</v>
      </c>
      <c r="F22" s="21" t="s">
        <v>30</v>
      </c>
    </row>
    <row r="23" customFormat="false" ht="15" hidden="false" customHeight="false" outlineLevel="0" collapsed="false">
      <c r="A23" s="16" t="s">
        <v>31</v>
      </c>
      <c r="B23" s="17" t="n">
        <f aca="false">1500*IF($B$7="Economy",0.8,IF($B$7="Premium",1.5,1))*(1-(0.4*IF($B$10="Yes",0,$B$9)))</f>
        <v>1200</v>
      </c>
      <c r="C23" s="18"/>
      <c r="D23" s="19" t="s">
        <v>28</v>
      </c>
      <c r="E23" s="20" t="s">
        <v>32</v>
      </c>
      <c r="F23" s="22"/>
    </row>
    <row r="24" customFormat="false" ht="15" hidden="false" customHeight="false" outlineLevel="0" collapsed="false">
      <c r="A24" s="16" t="s">
        <v>33</v>
      </c>
      <c r="B24" s="17" t="n">
        <f aca="false">800*IF($B$7="Economy",0.8,IF($B$7="Premium",1.5,1))*(1-(0.4*IF($B$10="Yes",0,$B$9)))</f>
        <v>640</v>
      </c>
      <c r="C24" s="18"/>
      <c r="D24" s="19" t="s">
        <v>28</v>
      </c>
      <c r="E24" s="20" t="s">
        <v>34</v>
      </c>
      <c r="F24" s="22"/>
    </row>
    <row r="25" customFormat="false" ht="15" hidden="false" customHeight="false" outlineLevel="0" collapsed="false">
      <c r="A25" s="16" t="s">
        <v>35</v>
      </c>
      <c r="B25" s="17" t="n">
        <f aca="false">2.5*$B$6*IF($B$7="Economy",0.8,IF($B$7="Premium",1.5,1))*(1-(0.4*IF($B$10="Yes",0,$B$9)))</f>
        <v>2000</v>
      </c>
      <c r="C25" s="18"/>
      <c r="D25" s="19" t="s">
        <v>36</v>
      </c>
      <c r="E25" s="20" t="s">
        <v>37</v>
      </c>
      <c r="F25" s="22"/>
    </row>
    <row r="26" customFormat="false" ht="15" hidden="false" customHeight="false" outlineLevel="0" collapsed="false">
      <c r="A26" s="16" t="s">
        <v>38</v>
      </c>
      <c r="B26" s="17" t="n">
        <f aca="false">3*$B$6*IF($B$7="Economy",0.8,IF($B$7="Premium",1.5,1))*(1-(0.4*IF($B$10="Yes",0,$B$9)))</f>
        <v>2400</v>
      </c>
      <c r="C26" s="18"/>
      <c r="D26" s="19" t="s">
        <v>36</v>
      </c>
      <c r="E26" s="20" t="s">
        <v>39</v>
      </c>
      <c r="F26" s="21" t="s">
        <v>40</v>
      </c>
    </row>
    <row r="27" customFormat="false" ht="16.5" hidden="false" customHeight="true" outlineLevel="0" collapsed="false">
      <c r="A27" s="15" t="s">
        <v>41</v>
      </c>
      <c r="B27" s="15"/>
      <c r="C27" s="15"/>
      <c r="D27" s="15"/>
      <c r="E27" s="15"/>
      <c r="F27" s="15"/>
    </row>
    <row r="28" customFormat="false" ht="15" hidden="false" customHeight="false" outlineLevel="0" collapsed="false">
      <c r="A28" s="16" t="s">
        <v>42</v>
      </c>
      <c r="B28" s="17" t="n">
        <f aca="false">3500*IF($B$7="Economy",0.8,IF($B$7="Premium",1.5,1))*(1-(0.4*IF($B$10="Yes",0,$B$9)))</f>
        <v>2800</v>
      </c>
      <c r="C28" s="18"/>
      <c r="D28" s="19" t="s">
        <v>28</v>
      </c>
      <c r="E28" s="20" t="s">
        <v>43</v>
      </c>
      <c r="F28" s="22"/>
    </row>
    <row r="29" customFormat="false" ht="15" hidden="false" customHeight="false" outlineLevel="0" collapsed="false">
      <c r="A29" s="16" t="s">
        <v>44</v>
      </c>
      <c r="B29" s="17" t="n">
        <f aca="false">15*$B$6*IF($B$7="Economy",0.8,IF($B$7="Premium",1.5,1))*(1-(0.4*IF($B$10="Yes",0,$B$9)))</f>
        <v>12000</v>
      </c>
      <c r="C29" s="18"/>
      <c r="D29" s="19" t="s">
        <v>36</v>
      </c>
      <c r="E29" s="20" t="s">
        <v>45</v>
      </c>
      <c r="F29" s="22"/>
    </row>
    <row r="30" customFormat="false" ht="15" hidden="false" customHeight="false" outlineLevel="0" collapsed="false">
      <c r="A30" s="16" t="s">
        <v>46</v>
      </c>
      <c r="B30" s="17" t="n">
        <f aca="false">4.5*$B$6*IF($B$7="Economy",0.8,IF($B$7="Premium",1.5,1))*(1-(0.4*IF($B$10="Yes",0,$B$9)))</f>
        <v>3600</v>
      </c>
      <c r="C30" s="18"/>
      <c r="D30" s="19" t="s">
        <v>36</v>
      </c>
      <c r="E30" s="20" t="s">
        <v>47</v>
      </c>
      <c r="F30" s="22"/>
    </row>
    <row r="31" customFormat="false" ht="15" hidden="false" customHeight="false" outlineLevel="0" collapsed="false">
      <c r="A31" s="16" t="s">
        <v>48</v>
      </c>
      <c r="B31" s="17" t="n">
        <f aca="false">1200*IF($B$7="Economy",0.8,IF($B$7="Premium",1.5,1))*(1-(0.4*IF($B$10="Yes",0,$B$9)))</f>
        <v>960</v>
      </c>
      <c r="C31" s="18"/>
      <c r="D31" s="19" t="s">
        <v>28</v>
      </c>
      <c r="E31" s="20" t="s">
        <v>49</v>
      </c>
      <c r="F31" s="22"/>
    </row>
    <row r="32" customFormat="false" ht="16.5" hidden="false" customHeight="true" outlineLevel="0" collapsed="false">
      <c r="A32" s="15" t="s">
        <v>50</v>
      </c>
      <c r="B32" s="15"/>
      <c r="C32" s="15"/>
      <c r="D32" s="15"/>
      <c r="E32" s="15"/>
      <c r="F32" s="15"/>
    </row>
    <row r="33" customFormat="false" ht="15" hidden="false" customHeight="false" outlineLevel="0" collapsed="false">
      <c r="A33" s="16" t="s">
        <v>51</v>
      </c>
      <c r="B33" s="17" t="n">
        <f aca="false">12*$B$6*IF($B$7="Economy",0.8,IF($B$7="Premium",1.5,1))*(1-(0.4*IF($B$10="Yes",0,$B$9)))</f>
        <v>9600</v>
      </c>
      <c r="C33" s="18"/>
      <c r="D33" s="19" t="s">
        <v>36</v>
      </c>
      <c r="E33" s="20" t="s">
        <v>52</v>
      </c>
      <c r="F33" s="22"/>
    </row>
    <row r="34" customFormat="false" ht="15" hidden="false" customHeight="false" outlineLevel="0" collapsed="false">
      <c r="A34" s="16" t="s">
        <v>53</v>
      </c>
      <c r="B34" s="17" t="n">
        <f aca="false">2.5*$B$6*IF($B$7="Economy",0.8,IF($B$7="Premium",1.5,1))*(1-(0.4*IF($B$10="Yes",0,$B$9)))</f>
        <v>2000</v>
      </c>
      <c r="C34" s="18"/>
      <c r="D34" s="19" t="s">
        <v>36</v>
      </c>
      <c r="E34" s="20" t="s">
        <v>54</v>
      </c>
      <c r="F34" s="22"/>
    </row>
    <row r="35" customFormat="false" ht="15" hidden="false" customHeight="false" outlineLevel="0" collapsed="false">
      <c r="A35" s="16" t="s">
        <v>55</v>
      </c>
      <c r="B35" s="17" t="n">
        <f aca="false">1.5*$B$6*IF($B$7="Economy",0.8,IF($B$7="Premium",1.5,1))*(1-(0.4*IF($B$10="Yes",0,$B$9)))</f>
        <v>1200</v>
      </c>
      <c r="C35" s="18"/>
      <c r="D35" s="19" t="s">
        <v>36</v>
      </c>
      <c r="E35" s="20" t="s">
        <v>56</v>
      </c>
      <c r="F35" s="22"/>
    </row>
    <row r="36" customFormat="false" ht="15" hidden="false" customHeight="false" outlineLevel="0" collapsed="false">
      <c r="A36" s="16" t="s">
        <v>57</v>
      </c>
      <c r="B36" s="17" t="n">
        <f aca="false">8*$B$6*IF($B$7="Economy",0.8,IF($B$7="Premium",1.5,1))*(1-(0.4*IF($B$10="Yes",0,$B$9)))</f>
        <v>6400</v>
      </c>
      <c r="C36" s="18"/>
      <c r="D36" s="19" t="s">
        <v>36</v>
      </c>
      <c r="E36" s="20" t="s">
        <v>58</v>
      </c>
      <c r="F36" s="22"/>
    </row>
    <row r="37" customFormat="false" ht="16.5" hidden="false" customHeight="true" outlineLevel="0" collapsed="false">
      <c r="A37" s="15" t="s">
        <v>59</v>
      </c>
      <c r="B37" s="15"/>
      <c r="C37" s="15"/>
      <c r="D37" s="15"/>
      <c r="E37" s="15"/>
      <c r="F37" s="15"/>
    </row>
    <row r="38" customFormat="false" ht="15" hidden="false" customHeight="false" outlineLevel="0" collapsed="false">
      <c r="A38" s="16" t="s">
        <v>60</v>
      </c>
      <c r="B38" s="17" t="n">
        <f aca="false">65*$B$6*IF($B$7="Economy",0.8,IF($B$7="Premium",1.5,1))*(1-(0.4*IF($B$10="Yes",0,$B$9)))</f>
        <v>52000</v>
      </c>
      <c r="C38" s="18"/>
      <c r="D38" s="19" t="s">
        <v>36</v>
      </c>
      <c r="E38" s="20" t="s">
        <v>61</v>
      </c>
      <c r="F38" s="21" t="s">
        <v>62</v>
      </c>
    </row>
    <row r="39" customFormat="false" ht="15" hidden="false" customHeight="false" outlineLevel="0" collapsed="false">
      <c r="A39" s="16" t="s">
        <v>63</v>
      </c>
      <c r="B39" s="17" t="n">
        <f aca="false">3*$B$6*IF($B$7="Economy",0.8,IF($B$7="Premium",1.5,1))*(1-(0.4*IF($B$10="Yes",0,$B$9)))</f>
        <v>2400</v>
      </c>
      <c r="C39" s="18"/>
      <c r="D39" s="19" t="s">
        <v>36</v>
      </c>
      <c r="E39" s="20" t="s">
        <v>64</v>
      </c>
      <c r="F39" s="22"/>
    </row>
    <row r="40" customFormat="false" ht="15" hidden="false" customHeight="false" outlineLevel="0" collapsed="false">
      <c r="A40" s="16" t="s">
        <v>65</v>
      </c>
      <c r="B40" s="17" t="n">
        <f aca="false">2.5*$B$6*IF($B$7="Economy",0.8,IF($B$7="Premium",1.5,1))*(1-(0.4*IF($B$10="Yes",0,$B$9)))</f>
        <v>2000</v>
      </c>
      <c r="C40" s="18"/>
      <c r="D40" s="19" t="s">
        <v>36</v>
      </c>
      <c r="E40" s="20" t="s">
        <v>66</v>
      </c>
      <c r="F40" s="22"/>
    </row>
    <row r="41" customFormat="false" ht="15" hidden="false" customHeight="false" outlineLevel="0" collapsed="false">
      <c r="A41" s="16" t="s">
        <v>67</v>
      </c>
      <c r="B41" s="17" t="n">
        <f aca="false">6*$B$6*IF($B$7="Economy",0.8,IF($B$7="Premium",1.5,1))*(1-(0.4*IF($B$10="Yes",0,$B$9)))</f>
        <v>4800</v>
      </c>
      <c r="C41" s="18"/>
      <c r="D41" s="19" t="s">
        <v>36</v>
      </c>
      <c r="E41" s="20" t="s">
        <v>68</v>
      </c>
      <c r="F41" s="22"/>
    </row>
    <row r="42" customFormat="false" ht="15" hidden="false" customHeight="false" outlineLevel="0" collapsed="false">
      <c r="A42" s="16" t="s">
        <v>69</v>
      </c>
      <c r="B42" s="17" t="n">
        <f aca="false">3.5*$B$6*IF($B$7="Economy",0.8,IF($B$7="Premium",1.5,1))*(1-(0.4*IF($B$10="Yes",0,$B$9)))</f>
        <v>2800</v>
      </c>
      <c r="C42" s="18"/>
      <c r="D42" s="19" t="s">
        <v>36</v>
      </c>
      <c r="E42" s="20" t="s">
        <v>70</v>
      </c>
      <c r="F42" s="22"/>
    </row>
    <row r="43" customFormat="false" ht="16.5" hidden="false" customHeight="true" outlineLevel="0" collapsed="false">
      <c r="A43" s="15" t="s">
        <v>71</v>
      </c>
      <c r="B43" s="15"/>
      <c r="C43" s="15"/>
      <c r="D43" s="15"/>
      <c r="E43" s="15"/>
      <c r="F43" s="15"/>
    </row>
    <row r="44" customFormat="false" ht="15" hidden="false" customHeight="false" outlineLevel="0" collapsed="false">
      <c r="A44" s="16" t="s">
        <v>72</v>
      </c>
      <c r="B44" s="17" t="n">
        <f aca="false">7*$B$6*IF($B$7="Economy",0.8,IF($B$7="Premium",1.5,1))*(1-(0.4*IF($B$10="Yes",0,$B$9)))</f>
        <v>5600</v>
      </c>
      <c r="C44" s="18"/>
      <c r="D44" s="19" t="s">
        <v>36</v>
      </c>
      <c r="E44" s="20" t="s">
        <v>73</v>
      </c>
      <c r="F44" s="22"/>
    </row>
    <row r="45" customFormat="false" ht="15" hidden="false" customHeight="false" outlineLevel="0" collapsed="false">
      <c r="A45" s="16" t="s">
        <v>74</v>
      </c>
      <c r="B45" s="17" t="n">
        <f aca="false">3*$B$6*IF($B$7="Economy",0.8,IF($B$7="Premium",1.5,1))*(1-(0.4*IF($B$10="Yes",0,$B$9)))</f>
        <v>2400</v>
      </c>
      <c r="C45" s="18"/>
      <c r="D45" s="19" t="s">
        <v>36</v>
      </c>
      <c r="E45" s="20" t="s">
        <v>75</v>
      </c>
      <c r="F45" s="22"/>
    </row>
    <row r="46" customFormat="false" ht="15" hidden="false" customHeight="false" outlineLevel="0" collapsed="false">
      <c r="A46" s="16" t="s">
        <v>76</v>
      </c>
      <c r="B46" s="17" t="n">
        <f aca="false">1.5*$B$6*IF($B$7="Economy",0.8,IF($B$7="Premium",1.5,1))*(1-(0.4*IF($B$10="Yes",0,$B$9)))</f>
        <v>1200</v>
      </c>
      <c r="C46" s="18"/>
      <c r="D46" s="19" t="s">
        <v>36</v>
      </c>
      <c r="E46" s="20" t="s">
        <v>77</v>
      </c>
      <c r="F46" s="22"/>
    </row>
    <row r="47" customFormat="false" ht="15" hidden="false" customHeight="false" outlineLevel="0" collapsed="false">
      <c r="A47" s="16" t="s">
        <v>78</v>
      </c>
      <c r="B47" s="17" t="n">
        <f aca="false">8*$B$6*IF($B$7="Economy",0.8,IF($B$7="Premium",1.5,1))*(1-(0.4*IF($B$10="Yes",0,$B$9)))</f>
        <v>6400</v>
      </c>
      <c r="C47" s="18"/>
      <c r="D47" s="19" t="s">
        <v>36</v>
      </c>
      <c r="E47" s="20" t="s">
        <v>79</v>
      </c>
      <c r="F47" s="22"/>
    </row>
    <row r="48" customFormat="false" ht="15" hidden="false" customHeight="false" outlineLevel="0" collapsed="false">
      <c r="A48" s="16" t="s">
        <v>80</v>
      </c>
      <c r="B48" s="17" t="n">
        <f aca="false">1200*IF($B$7="Economy",0.8,IF($B$7="Premium",1.5,1))*(1-(0.4*IF($B$10="Yes",0,$B$9)))</f>
        <v>960</v>
      </c>
      <c r="C48" s="18"/>
      <c r="D48" s="19" t="s">
        <v>28</v>
      </c>
      <c r="E48" s="20" t="s">
        <v>81</v>
      </c>
      <c r="F48" s="22"/>
    </row>
    <row r="49" customFormat="false" ht="16.5" hidden="false" customHeight="true" outlineLevel="0" collapsed="false">
      <c r="A49" s="15" t="s">
        <v>82</v>
      </c>
      <c r="B49" s="15"/>
      <c r="C49" s="15"/>
      <c r="D49" s="15"/>
      <c r="E49" s="15"/>
      <c r="F49" s="15"/>
    </row>
    <row r="50" customFormat="false" ht="15" hidden="false" customHeight="false" outlineLevel="0" collapsed="false">
      <c r="A50" s="16" t="s">
        <v>83</v>
      </c>
      <c r="B50" s="17" t="n">
        <f aca="false">2500*IF($B$7="Economy",0.8,IF($B$7="Premium",1.5,1))*(1-(0.4*IF($B$10="Yes",0,$B$9)))</f>
        <v>2000</v>
      </c>
      <c r="C50" s="18"/>
      <c r="D50" s="19" t="s">
        <v>28</v>
      </c>
      <c r="E50" s="20" t="s">
        <v>84</v>
      </c>
      <c r="F50" s="22"/>
    </row>
    <row r="51" customFormat="false" ht="15" hidden="false" customHeight="false" outlineLevel="0" collapsed="false">
      <c r="A51" s="16" t="s">
        <v>85</v>
      </c>
      <c r="B51" s="17" t="n">
        <f aca="false">12*$B$6*IF($B$7="Economy",0.8,IF($B$7="Premium",1.5,1))*(1-(0.4*IF($B$10="Yes",0,$B$9)))</f>
        <v>9600</v>
      </c>
      <c r="C51" s="18"/>
      <c r="D51" s="19" t="s">
        <v>36</v>
      </c>
      <c r="E51" s="20" t="s">
        <v>86</v>
      </c>
      <c r="F51" s="22"/>
    </row>
    <row r="52" customFormat="false" ht="15" hidden="false" customHeight="false" outlineLevel="0" collapsed="false">
      <c r="A52" s="16" t="s">
        <v>87</v>
      </c>
      <c r="B52" s="17" t="n">
        <f aca="false">0*IF($B$7="Economy",0.8,IF($B$7="Premium",1.5,1))*(1-(0.4*IF($B$10="Yes",0,$B$9)))</f>
        <v>0</v>
      </c>
      <c r="C52" s="18"/>
      <c r="D52" s="19" t="s">
        <v>28</v>
      </c>
      <c r="E52" s="20" t="s">
        <v>88</v>
      </c>
      <c r="F52" s="22"/>
    </row>
    <row r="53" customFormat="false" ht="15" hidden="false" customHeight="false" outlineLevel="0" collapsed="false">
      <c r="A53" s="16" t="s">
        <v>89</v>
      </c>
      <c r="B53" s="17" t="n">
        <f aca="false">600*IF($B$7="Economy",0.8,IF($B$7="Premium",1.5,1))*(1-(0.4*IF($B$10="Yes",0,$B$9)))</f>
        <v>480</v>
      </c>
      <c r="C53" s="18"/>
      <c r="D53" s="19" t="s">
        <v>28</v>
      </c>
      <c r="E53" s="20" t="s">
        <v>90</v>
      </c>
      <c r="F53" s="22"/>
    </row>
    <row r="54" customFormat="false" ht="16.5" hidden="false" customHeight="true" outlineLevel="0" collapsed="false">
      <c r="A54" s="15" t="s">
        <v>91</v>
      </c>
      <c r="B54" s="15"/>
      <c r="C54" s="15"/>
      <c r="D54" s="15"/>
      <c r="E54" s="15"/>
      <c r="F54" s="15"/>
    </row>
    <row r="55" customFormat="false" ht="15" hidden="false" customHeight="false" outlineLevel="0" collapsed="false">
      <c r="A55" s="16" t="s">
        <v>92</v>
      </c>
      <c r="B55" s="17" t="n">
        <f aca="false">2.5*$B$6*IF($B$7="Economy",0.8,IF($B$7="Premium",1.5,1))*(1-(0.4*IF($B$10="Yes",0,$B$9)))</f>
        <v>2000</v>
      </c>
      <c r="C55" s="18"/>
      <c r="D55" s="19" t="s">
        <v>36</v>
      </c>
      <c r="E55" s="20" t="s">
        <v>93</v>
      </c>
      <c r="F55" s="22"/>
    </row>
    <row r="56" customFormat="false" ht="15" hidden="false" customHeight="false" outlineLevel="0" collapsed="false">
      <c r="A56" s="16" t="s">
        <v>94</v>
      </c>
      <c r="B56" s="17" t="n">
        <f aca="false">25*$B$6*IF($B$7="Economy",0.8,IF($B$7="Premium",1.5,1))*(1-(0.4*IF($B$10="Yes",0,$B$9)))</f>
        <v>20000</v>
      </c>
      <c r="C56" s="18"/>
      <c r="D56" s="19" t="s">
        <v>36</v>
      </c>
      <c r="E56" s="20" t="s">
        <v>95</v>
      </c>
      <c r="F56" s="22"/>
    </row>
    <row r="57" customFormat="false" ht="15" hidden="false" customHeight="false" outlineLevel="0" collapsed="false">
      <c r="A57" s="16" t="s">
        <v>96</v>
      </c>
      <c r="B57" s="17" t="n">
        <f aca="false">1500*IF($B$7="Economy",0.8,IF($B$7="Premium",1.5,1))*(1-(0.4*IF($B$10="Yes",0,$B$9)))</f>
        <v>1200</v>
      </c>
      <c r="C57" s="18"/>
      <c r="D57" s="19" t="s">
        <v>28</v>
      </c>
      <c r="E57" s="20" t="s">
        <v>97</v>
      </c>
      <c r="F57" s="22"/>
    </row>
    <row r="58" customFormat="false" ht="16.5" hidden="false" customHeight="true" outlineLevel="0" collapsed="false">
      <c r="A58" s="15" t="s">
        <v>98</v>
      </c>
      <c r="B58" s="15"/>
      <c r="C58" s="15"/>
      <c r="D58" s="15"/>
      <c r="E58" s="15"/>
      <c r="F58" s="15"/>
    </row>
    <row r="59" customFormat="false" ht="15" hidden="false" customHeight="false" outlineLevel="0" collapsed="false">
      <c r="A59" s="16" t="s">
        <v>99</v>
      </c>
      <c r="B59" s="17" t="n">
        <f aca="false">4.5*$B$6*IF($B$7="Economy",0.8,IF($B$7="Premium",1.5,1))*(1-(0.4*IF($B$10="Yes",0,$B$9)))</f>
        <v>3600</v>
      </c>
      <c r="C59" s="18"/>
      <c r="D59" s="19" t="s">
        <v>36</v>
      </c>
      <c r="E59" s="20" t="s">
        <v>100</v>
      </c>
      <c r="F59" s="22"/>
    </row>
    <row r="60" customFormat="false" ht="15" hidden="false" customHeight="false" outlineLevel="0" collapsed="false">
      <c r="A60" s="16" t="s">
        <v>101</v>
      </c>
      <c r="B60" s="17" t="n">
        <f aca="false">6*$B$6*IF($B$7="Economy",0.8,IF($B$7="Premium",1.5,1))*(1-(0.4*IF($B$10="Yes",0,$B$9)))</f>
        <v>4800</v>
      </c>
      <c r="C60" s="18"/>
      <c r="D60" s="19" t="s">
        <v>36</v>
      </c>
      <c r="E60" s="20" t="s">
        <v>102</v>
      </c>
      <c r="F60" s="22"/>
    </row>
    <row r="61" customFormat="false" ht="15" hidden="false" customHeight="false" outlineLevel="0" collapsed="false">
      <c r="A61" s="16" t="s">
        <v>103</v>
      </c>
      <c r="B61" s="17" t="n">
        <f aca="false">8*$B$6*IF($B$7="Economy",0.8,IF($B$7="Premium",1.5,1))*(1-(0.4*IF($B$10="Yes",0,$B$9)))</f>
        <v>6400</v>
      </c>
      <c r="C61" s="18"/>
      <c r="D61" s="19" t="s">
        <v>36</v>
      </c>
      <c r="E61" s="20" t="s">
        <v>104</v>
      </c>
      <c r="F61" s="22"/>
    </row>
    <row r="62" customFormat="false" ht="15" hidden="false" customHeight="false" outlineLevel="0" collapsed="false">
      <c r="A62" s="16" t="s">
        <v>105</v>
      </c>
      <c r="B62" s="17" t="n">
        <f aca="false">3500*IF($B$7="Economy",0.8,IF($B$7="Premium",1.5,1))*(1-(0.4*IF($B$10="Yes",0,$B$9)))</f>
        <v>2800</v>
      </c>
      <c r="C62" s="18"/>
      <c r="D62" s="19" t="s">
        <v>28</v>
      </c>
      <c r="E62" s="20" t="s">
        <v>106</v>
      </c>
      <c r="F62" s="22"/>
    </row>
    <row r="63" customFormat="false" ht="15" hidden="false" customHeight="false" outlineLevel="0" collapsed="false">
      <c r="A63" s="16" t="s">
        <v>107</v>
      </c>
      <c r="B63" s="17" t="n">
        <f aca="false">2*$B$6*IF($B$7="Economy",0.8,IF($B$7="Premium",1.5,1))*(1-(0.4*IF($B$10="Yes",0,$B$9)))</f>
        <v>1600</v>
      </c>
      <c r="C63" s="18"/>
      <c r="D63" s="19" t="s">
        <v>36</v>
      </c>
      <c r="E63" s="20" t="s">
        <v>108</v>
      </c>
      <c r="F63" s="22"/>
    </row>
    <row r="64" customFormat="false" ht="16.5" hidden="false" customHeight="true" outlineLevel="0" collapsed="false">
      <c r="A64" s="15" t="s">
        <v>109</v>
      </c>
      <c r="B64" s="15"/>
      <c r="C64" s="15"/>
      <c r="D64" s="15"/>
      <c r="E64" s="15"/>
      <c r="F64" s="15"/>
    </row>
    <row r="65" customFormat="false" ht="15" hidden="false" customHeight="false" outlineLevel="0" collapsed="false">
      <c r="A65" s="16" t="s">
        <v>110</v>
      </c>
      <c r="B65" s="17" t="n">
        <f aca="false">8000*IF($B$7="Economy",0.8,IF($B$7="Premium",1.5,1))*(1-(0.4*IF($B$10="Yes",0,$B$9)))</f>
        <v>6400</v>
      </c>
      <c r="C65" s="18"/>
      <c r="D65" s="19" t="s">
        <v>28</v>
      </c>
      <c r="E65" s="20" t="s">
        <v>111</v>
      </c>
      <c r="F65" s="22"/>
    </row>
    <row r="66" customFormat="false" ht="15" hidden="false" customHeight="false" outlineLevel="0" collapsed="false">
      <c r="A66" s="16" t="s">
        <v>112</v>
      </c>
      <c r="B66" s="17" t="n">
        <f aca="false">4500*IF($B$7="Economy",0.8,IF($B$7="Premium",1.5,1))*(1-(0.4*IF($B$10="Yes",0,$B$9)))</f>
        <v>3600</v>
      </c>
      <c r="C66" s="18"/>
      <c r="D66" s="19" t="s">
        <v>28</v>
      </c>
      <c r="E66" s="20" t="s">
        <v>113</v>
      </c>
      <c r="F66" s="22"/>
    </row>
    <row r="67" customFormat="false" ht="15" hidden="false" customHeight="false" outlineLevel="0" collapsed="false">
      <c r="A67" s="16" t="s">
        <v>114</v>
      </c>
      <c r="B67" s="17" t="n">
        <f aca="false">1500*IF($B$7="Economy",0.8,IF($B$7="Premium",1.5,1))*(1-(0.4*IF($B$10="Yes",0,$B$9)))</f>
        <v>1200</v>
      </c>
      <c r="C67" s="18"/>
      <c r="D67" s="19" t="s">
        <v>28</v>
      </c>
      <c r="E67" s="20" t="s">
        <v>115</v>
      </c>
      <c r="F67" s="22"/>
    </row>
    <row r="68" customFormat="false" ht="15" hidden="false" customHeight="false" outlineLevel="0" collapsed="false">
      <c r="A68" s="16" t="s">
        <v>116</v>
      </c>
      <c r="B68" s="17" t="n">
        <f aca="false">6000*IF($B$7="Economy",0.8,IF($B$7="Premium",1.5,1))*(1-(0.4*IF($B$10="Yes",0,$B$9)))</f>
        <v>4800</v>
      </c>
      <c r="C68" s="18"/>
      <c r="D68" s="19" t="s">
        <v>28</v>
      </c>
      <c r="E68" s="20" t="s">
        <v>117</v>
      </c>
      <c r="F68" s="22"/>
    </row>
    <row r="69" customFormat="false" ht="15" hidden="false" customHeight="false" outlineLevel="0" collapsed="false">
      <c r="A69" s="16" t="s">
        <v>118</v>
      </c>
      <c r="B69" s="17" t="n">
        <f aca="false">4000*IF($B$7="Economy",0.8,IF($B$7="Premium",1.5,1))*(1-(0.4*IF($B$10="Yes",0,$B$9)))</f>
        <v>3200</v>
      </c>
      <c r="C69" s="18"/>
      <c r="D69" s="19" t="s">
        <v>28</v>
      </c>
      <c r="E69" s="20" t="s">
        <v>119</v>
      </c>
      <c r="F69" s="22"/>
    </row>
    <row r="70" customFormat="false" ht="16.5" hidden="false" customHeight="true" outlineLevel="0" collapsed="false">
      <c r="A70" s="15" t="s">
        <v>120</v>
      </c>
      <c r="B70" s="15"/>
      <c r="C70" s="15"/>
      <c r="D70" s="15"/>
      <c r="E70" s="15"/>
      <c r="F70" s="15"/>
    </row>
    <row r="71" customFormat="false" ht="15" hidden="false" customHeight="false" outlineLevel="0" collapsed="false">
      <c r="A71" s="16" t="s">
        <v>121</v>
      </c>
      <c r="B71" s="17" t="n">
        <f aca="false">6*$B$6*IF($B$7="Economy",0.8,IF($B$7="Premium",1.5,1))*(1-(0.4*IF($B$10="Yes",0,$B$9)))</f>
        <v>4800</v>
      </c>
      <c r="C71" s="18"/>
      <c r="D71" s="19" t="s">
        <v>36</v>
      </c>
      <c r="E71" s="20" t="s">
        <v>122</v>
      </c>
      <c r="F71" s="22"/>
    </row>
    <row r="72" customFormat="false" ht="15" hidden="false" customHeight="false" outlineLevel="0" collapsed="false">
      <c r="A72" s="16" t="s">
        <v>123</v>
      </c>
      <c r="B72" s="17" t="n">
        <f aca="false">7*$B$6*IF($B$7="Economy",0.8,IF($B$7="Premium",1.5,1))*(1-(0.4*IF($B$10="Yes",0,$B$9)))</f>
        <v>5600</v>
      </c>
      <c r="C72" s="18"/>
      <c r="D72" s="19" t="s">
        <v>36</v>
      </c>
      <c r="E72" s="20" t="s">
        <v>124</v>
      </c>
      <c r="F72" s="22"/>
    </row>
    <row r="73" customFormat="false" ht="15" hidden="false" customHeight="false" outlineLevel="0" collapsed="false">
      <c r="A73" s="16" t="s">
        <v>125</v>
      </c>
      <c r="B73" s="17" t="n">
        <f aca="false">8000*IF($B$7="Economy",0.8,IF($B$7="Premium",1.5,1))*(1-(0.4*IF($B$10="Yes",0,$B$9)))</f>
        <v>6400</v>
      </c>
      <c r="C73" s="18"/>
      <c r="D73" s="19" t="s">
        <v>28</v>
      </c>
      <c r="E73" s="20" t="s">
        <v>126</v>
      </c>
      <c r="F73" s="22"/>
    </row>
    <row r="74" customFormat="false" ht="15" hidden="false" customHeight="false" outlineLevel="0" collapsed="false">
      <c r="A74" s="16" t="s">
        <v>127</v>
      </c>
      <c r="B74" s="17" t="n">
        <f aca="false">1500*IF($B$7="Economy",0.8,IF($B$7="Premium",1.5,1))*(1-(0.4*IF($B$10="Yes",0,$B$9)))</f>
        <v>1200</v>
      </c>
      <c r="C74" s="18"/>
      <c r="D74" s="19" t="s">
        <v>28</v>
      </c>
      <c r="E74" s="20" t="s">
        <v>128</v>
      </c>
      <c r="F74" s="22"/>
    </row>
    <row r="75" customFormat="false" ht="15" hidden="false" customHeight="false" outlineLevel="0" collapsed="false">
      <c r="A75" s="16" t="s">
        <v>129</v>
      </c>
      <c r="B75" s="17" t="n">
        <f aca="false">2500*IF($B$7="Economy",0.8,IF($B$7="Premium",1.5,1))*(1-(0.4*IF($B$10="Yes",0,$B$9)))</f>
        <v>2000</v>
      </c>
      <c r="C75" s="18"/>
      <c r="D75" s="19" t="s">
        <v>28</v>
      </c>
      <c r="E75" s="20" t="s">
        <v>130</v>
      </c>
      <c r="F75" s="22"/>
    </row>
    <row r="76" customFormat="false" ht="16.5" hidden="false" customHeight="true" outlineLevel="0" collapsed="false">
      <c r="A76" s="15" t="s">
        <v>131</v>
      </c>
      <c r="B76" s="15"/>
      <c r="C76" s="15"/>
      <c r="D76" s="15"/>
      <c r="E76" s="15"/>
      <c r="F76" s="15"/>
    </row>
    <row r="77" customFormat="false" ht="15" hidden="false" customHeight="false" outlineLevel="0" collapsed="false">
      <c r="A77" s="16" t="s">
        <v>132</v>
      </c>
      <c r="B77" s="17" t="n">
        <f aca="false">10000*IF($B$7="Economy",0.8,IF($B$7="Premium",1.5,1))*(1-(0.4*IF($B$10="Yes",0,$B$9)))</f>
        <v>8000</v>
      </c>
      <c r="C77" s="18"/>
      <c r="D77" s="19" t="s">
        <v>28</v>
      </c>
      <c r="E77" s="20" t="s">
        <v>133</v>
      </c>
      <c r="F77" s="22"/>
    </row>
    <row r="78" customFormat="false" ht="15" hidden="false" customHeight="false" outlineLevel="0" collapsed="false">
      <c r="A78" s="16" t="s">
        <v>134</v>
      </c>
      <c r="B78" s="17" t="n">
        <f aca="false">8000*IF($B$7="Economy",0.8,IF($B$7="Premium",1.5,1))*(1-(0.4*IF($B$10="Yes",0,$B$9)))</f>
        <v>6400</v>
      </c>
      <c r="C78" s="18"/>
      <c r="D78" s="19" t="s">
        <v>28</v>
      </c>
      <c r="E78" s="20" t="s">
        <v>135</v>
      </c>
      <c r="F78" s="22"/>
    </row>
    <row r="79" customFormat="false" ht="15" hidden="false" customHeight="false" outlineLevel="0" collapsed="false">
      <c r="A79" s="16" t="s">
        <v>136</v>
      </c>
      <c r="B79" s="17" t="n">
        <f aca="false">1500*IF($B$7="Economy",0.8,IF($B$7="Premium",1.5,1))*(1-(0.4*IF($B$10="Yes",0,$B$9)))</f>
        <v>1200</v>
      </c>
      <c r="C79" s="18"/>
      <c r="D79" s="19" t="s">
        <v>28</v>
      </c>
      <c r="E79" s="20" t="s">
        <v>137</v>
      </c>
      <c r="F79" s="22"/>
    </row>
    <row r="80" customFormat="false" ht="16.5" hidden="false" customHeight="true" outlineLevel="0" collapsed="false">
      <c r="A80" s="15" t="s">
        <v>138</v>
      </c>
      <c r="B80" s="15"/>
      <c r="C80" s="15"/>
      <c r="D80" s="15"/>
      <c r="E80" s="15"/>
      <c r="F80" s="15"/>
    </row>
    <row r="81" customFormat="false" ht="15" hidden="false" customHeight="false" outlineLevel="0" collapsed="false">
      <c r="A81" s="16" t="s">
        <v>139</v>
      </c>
      <c r="B81" s="17" t="n">
        <f aca="false">IF($B$8="Yes",12000*IF($B$7="Economy",0.8,IF($B$7="Premium",1.5,1))*(1-(0.4*IF($B$10="Yes",0,$B$9))),0)</f>
        <v>0</v>
      </c>
      <c r="C81" s="18"/>
      <c r="D81" s="19" t="s">
        <v>28</v>
      </c>
      <c r="E81" s="20" t="s">
        <v>140</v>
      </c>
      <c r="F81" s="21" t="s">
        <v>141</v>
      </c>
    </row>
    <row r="82" customFormat="false" ht="15" hidden="false" customHeight="false" outlineLevel="0" collapsed="false">
      <c r="A82" s="16" t="s">
        <v>142</v>
      </c>
      <c r="B82" s="17" t="n">
        <f aca="false">IF($B$8="Yes",10000*IF($B$7="Economy",0.8,IF($B$7="Premium",1.5,1))*(1-(0.4*IF($B$10="Yes",0,$B$9))),0)</f>
        <v>0</v>
      </c>
      <c r="C82" s="18"/>
      <c r="D82" s="19" t="s">
        <v>28</v>
      </c>
      <c r="E82" s="20" t="s">
        <v>143</v>
      </c>
      <c r="F82" s="22"/>
    </row>
    <row r="83" customFormat="false" ht="15" hidden="false" customHeight="false" outlineLevel="0" collapsed="false">
      <c r="A83" s="16" t="s">
        <v>144</v>
      </c>
      <c r="B83" s="17" t="n">
        <f aca="false">IF($B$8="Yes",4500*IF($B$7="Economy",0.8,IF($B$7="Premium",1.5,1))*(1-(0.4*IF($B$10="Yes",0,$B$9))),0)</f>
        <v>0</v>
      </c>
      <c r="C83" s="18"/>
      <c r="D83" s="19" t="s">
        <v>28</v>
      </c>
      <c r="E83" s="20" t="s">
        <v>145</v>
      </c>
      <c r="F83" s="22"/>
    </row>
    <row r="84" customFormat="false" ht="15" hidden="false" customHeight="false" outlineLevel="0" collapsed="false">
      <c r="A84" s="16" t="s">
        <v>146</v>
      </c>
      <c r="B84" s="17" t="n">
        <f aca="false">IF($B$8="Yes",3500*IF($B$7="Economy",0.8,IF($B$7="Premium",1.5,1))*(1-(0.4*IF($B$10="Yes",0,$B$9))),0)</f>
        <v>0</v>
      </c>
      <c r="C84" s="18"/>
      <c r="D84" s="19" t="s">
        <v>28</v>
      </c>
      <c r="E84" s="20" t="s">
        <v>147</v>
      </c>
      <c r="F84" s="22"/>
    </row>
    <row r="85" customFormat="false" ht="15" hidden="false" customHeight="false" outlineLevel="0" collapsed="false">
      <c r="A85" s="16" t="s">
        <v>148</v>
      </c>
      <c r="B85" s="17" t="n">
        <f aca="false">IF($B$8="Yes",1800*IF($B$7="Economy",0.8,IF($B$7="Premium",1.5,1))*(1-(0.4*IF($B$10="Yes",0,$B$9))),0)</f>
        <v>0</v>
      </c>
      <c r="C85" s="18"/>
      <c r="D85" s="19" t="s">
        <v>28</v>
      </c>
      <c r="E85" s="20" t="s">
        <v>149</v>
      </c>
      <c r="F85" s="22"/>
    </row>
    <row r="86" customFormat="false" ht="15" hidden="false" customHeight="false" outlineLevel="0" collapsed="false">
      <c r="A86" s="16" t="s">
        <v>150</v>
      </c>
      <c r="B86" s="17" t="n">
        <f aca="false">IF($B$8="Yes",2500*IF($B$7="Economy",0.8,IF($B$7="Premium",1.5,1))*(1-(0.4*IF($B$10="Yes",0,$B$9))),0)</f>
        <v>0</v>
      </c>
      <c r="C86" s="18"/>
      <c r="D86" s="19" t="s">
        <v>28</v>
      </c>
      <c r="E86" s="20" t="s">
        <v>151</v>
      </c>
      <c r="F86" s="22"/>
    </row>
    <row r="87" customFormat="false" ht="16.5" hidden="false" customHeight="true" outlineLevel="0" collapsed="false">
      <c r="A87" s="15" t="s">
        <v>152</v>
      </c>
      <c r="B87" s="15"/>
      <c r="C87" s="15"/>
      <c r="D87" s="15"/>
      <c r="E87" s="15"/>
      <c r="F87" s="15"/>
    </row>
    <row r="88" customFormat="false" ht="15" hidden="false" customHeight="false" outlineLevel="0" collapsed="false">
      <c r="A88" s="16" t="s">
        <v>153</v>
      </c>
      <c r="B88" s="17" t="n">
        <f aca="false">IF($B$10="Yes",$B$11*SUM(B22:B86),0)</f>
        <v>0</v>
      </c>
      <c r="C88" s="18"/>
      <c r="D88" s="19" t="s">
        <v>154</v>
      </c>
      <c r="E88" s="20" t="s">
        <v>155</v>
      </c>
      <c r="F88" s="22"/>
    </row>
    <row r="89" customFormat="false" ht="15" hidden="false" customHeight="false" outlineLevel="0" collapsed="false">
      <c r="A89" s="16" t="s">
        <v>156</v>
      </c>
      <c r="B89" s="17" t="n">
        <f aca="false">IF($B$10="Yes",2500,0)*IF($B$7="Economy",0.8,IF($B$7="Premium",1.5,1))*(1-(0.4*IF($B$10="Yes",0,$B$9)))</f>
        <v>0</v>
      </c>
      <c r="C89" s="18"/>
      <c r="D89" s="19" t="s">
        <v>28</v>
      </c>
      <c r="E89" s="20" t="s">
        <v>157</v>
      </c>
      <c r="F89" s="22"/>
    </row>
    <row r="90" customFormat="false" ht="16.5" hidden="false" customHeight="true" outlineLevel="0" collapsed="false">
      <c r="A90" s="15" t="s">
        <v>158</v>
      </c>
      <c r="B90" s="15"/>
      <c r="C90" s="15"/>
      <c r="D90" s="15"/>
      <c r="E90" s="15"/>
      <c r="F90" s="15"/>
    </row>
    <row r="91" customFormat="false" ht="15" hidden="false" customHeight="false" outlineLevel="0" collapsed="false">
      <c r="A91" s="16" t="s">
        <v>159</v>
      </c>
      <c r="B91" s="17" t="n">
        <f aca="false">5000*IF($B$7="Economy",0.8,IF($B$7="Premium",1.5,1))*(1-(0.4*IF($B$10="Yes",0,$B$9)))</f>
        <v>4000</v>
      </c>
      <c r="C91" s="18"/>
      <c r="D91" s="19" t="s">
        <v>28</v>
      </c>
      <c r="E91" s="20" t="s">
        <v>160</v>
      </c>
      <c r="F91" s="22"/>
    </row>
    <row r="92" customFormat="false" ht="15" hidden="false" customHeight="false" outlineLevel="0" collapsed="false">
      <c r="A92" s="16" t="s">
        <v>161</v>
      </c>
      <c r="B92" s="17" t="n">
        <f aca="false">1500*IF($B$7="Economy",0.8,IF($B$7="Premium",1.5,1))*(1-(0.4*IF($B$10="Yes",0,$B$9)))</f>
        <v>1200</v>
      </c>
      <c r="C92" s="18"/>
      <c r="D92" s="19" t="s">
        <v>28</v>
      </c>
      <c r="E92" s="20" t="s">
        <v>162</v>
      </c>
      <c r="F92" s="22"/>
    </row>
    <row r="93" customFormat="false" ht="15" hidden="false" customHeight="false" outlineLevel="0" collapsed="false">
      <c r="A93" s="23" t="s">
        <v>163</v>
      </c>
      <c r="B93" s="17" t="n">
        <f aca="false">0.15*SUM(B22:B92)</f>
        <v>35976</v>
      </c>
      <c r="C93" s="18"/>
      <c r="D93" s="19" t="s">
        <v>164</v>
      </c>
      <c r="E93" s="20" t="s">
        <v>165</v>
      </c>
      <c r="F93" s="22"/>
    </row>
    <row r="95" customFormat="false" ht="33.75" hidden="false" customHeight="true" outlineLevel="0" collapsed="false">
      <c r="A95" s="11" t="s">
        <v>166</v>
      </c>
      <c r="B95" s="11"/>
      <c r="C95" s="11"/>
      <c r="D95" s="11"/>
      <c r="E95" s="11"/>
      <c r="F95" s="11"/>
    </row>
    <row r="96" customFormat="false" ht="24" hidden="false" customHeight="true" outlineLevel="0" collapsed="false">
      <c r="A96" s="24" t="s">
        <v>1</v>
      </c>
      <c r="B96" s="24"/>
      <c r="C96" s="24"/>
    </row>
  </sheetData>
  <mergeCells count="27">
    <mergeCell ref="A1:D2"/>
    <mergeCell ref="E1:F2"/>
    <mergeCell ref="A3:F3"/>
    <mergeCell ref="A5:F5"/>
    <mergeCell ref="A13:F13"/>
    <mergeCell ref="B14:C14"/>
    <mergeCell ref="D14:F16"/>
    <mergeCell ref="B15:C15"/>
    <mergeCell ref="B16:C16"/>
    <mergeCell ref="A17:F17"/>
    <mergeCell ref="A19:F19"/>
    <mergeCell ref="A21:F21"/>
    <mergeCell ref="A27:F27"/>
    <mergeCell ref="A32:F32"/>
    <mergeCell ref="A37:F37"/>
    <mergeCell ref="A43:F43"/>
    <mergeCell ref="A49:F49"/>
    <mergeCell ref="A54:F54"/>
    <mergeCell ref="A58:F58"/>
    <mergeCell ref="A64:F64"/>
    <mergeCell ref="A70:F70"/>
    <mergeCell ref="A76:F76"/>
    <mergeCell ref="A80:F80"/>
    <mergeCell ref="A87:F87"/>
    <mergeCell ref="A90:F90"/>
    <mergeCell ref="A95:F95"/>
    <mergeCell ref="A96:C96"/>
  </mergeCells>
  <dataValidations count="3">
    <dataValidation allowBlank="false" errorStyle="stop" operator="between" showDropDown="false" showErrorMessage="false" showInputMessage="false" sqref="B7" type="list">
      <formula1>"Economy,Standard,Premium"</formula1>
      <formula2>0</formula2>
    </dataValidation>
    <dataValidation allowBlank="false" errorStyle="stop" operator="between" showDropDown="false" showErrorMessage="false" showInputMessage="false" sqref="B8" type="list">
      <formula1>"Yes,No"</formula1>
      <formula2>0</formula2>
    </dataValidation>
    <dataValidation allowBlank="false" errorStyle="stop" operator="between" showDropDown="false" showErrorMessage="false" showInputMessage="false" sqref="B10" type="list">
      <formula1>"Yes,No"</formula1>
      <formula2>0</formula2>
    </dataValidation>
  </dataValidations>
  <hyperlinks>
    <hyperlink ref="E1" r:id="rId1" display="Get the Complete Bundle →"/>
    <hyperlink ref="C6" r:id="rId2" display="Find a Contractor"/>
    <hyperlink ref="A17" r:id="rId3" display="Want the full planning system? Get this spreadsheet + 5 more tools in the DIY Cabin Builder Bundle →  cabincalculator.com/bundle"/>
    <hyperlink ref="F22" r:id="rId4" display="Land Buying Guide"/>
    <hyperlink ref="F26" r:id="rId5" display="Cabin Floor Plans"/>
    <hyperlink ref="F38" r:id="rId6" display="Jamaica Cottage Shop"/>
    <hyperlink ref="F81" r:id="rId7" display="Cabin Solar Power"/>
    <hyperlink ref="A96" r:id="rId8" display="Get the Complete Bundle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2026-09-04T14:04:17Z</dcterms:created>
  <dc:creator>openpyxl</dc:creator>
  <dc:description/>
  <dc:language>en-US</dc:language>
  <cp:lastModifiedBy/>
  <dcterms:modified xsi:type="dcterms:W3CDTF">2026-09-04T14:04:18Z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